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0395" tabRatio="858" activeTab="5"/>
  </bookViews>
  <sheets>
    <sheet name="П1.4" sheetId="33" r:id="rId1"/>
    <sheet name="П1.5" sheetId="34" r:id="rId2"/>
    <sheet name="П1.6" sheetId="35" r:id="rId3"/>
    <sheet name="П1.30 " sheetId="36" r:id="rId4"/>
    <sheet name="П 2.1" sheetId="37" r:id="rId5"/>
    <sheet name="П2.2" sheetId="38" r:id="rId6"/>
  </sheets>
  <externalReferences>
    <externalReference r:id="rId7"/>
    <externalReference r:id="rId8"/>
    <externalReference r:id="rId9"/>
  </externalReferences>
  <definedNames>
    <definedName name="\a" localSheetId="4">#REF!</definedName>
    <definedName name="\a" localSheetId="5">#REF!</definedName>
    <definedName name="\a">#REF!</definedName>
    <definedName name="\m" localSheetId="4">#REF!</definedName>
    <definedName name="\m" localSheetId="5">#REF!</definedName>
    <definedName name="\m">#REF!</definedName>
    <definedName name="\n" localSheetId="4">#REF!</definedName>
    <definedName name="\n" localSheetId="5">#REF!</definedName>
    <definedName name="\n">#REF!</definedName>
    <definedName name="\o" localSheetId="4">#REF!</definedName>
    <definedName name="\o" localSheetId="5">#REF!</definedName>
    <definedName name="\o">#REF!</definedName>
    <definedName name="_SP1" localSheetId="4">[1]FES!#REF!</definedName>
    <definedName name="_SP1" localSheetId="5">[1]FES!#REF!</definedName>
    <definedName name="_SP1">[1]FES!#REF!</definedName>
    <definedName name="_SP10" localSheetId="4">[1]FES!#REF!</definedName>
    <definedName name="_SP10" localSheetId="5">[1]FES!#REF!</definedName>
    <definedName name="_SP10">[1]FES!#REF!</definedName>
    <definedName name="_SP11" localSheetId="4">[1]FES!#REF!</definedName>
    <definedName name="_SP11" localSheetId="5">[1]FES!#REF!</definedName>
    <definedName name="_SP11">[1]FES!#REF!</definedName>
    <definedName name="_SP12" localSheetId="4">[1]FES!#REF!</definedName>
    <definedName name="_SP12" localSheetId="5">[1]FES!#REF!</definedName>
    <definedName name="_SP12">[1]FES!#REF!</definedName>
    <definedName name="_SP13" localSheetId="4">[1]FES!#REF!</definedName>
    <definedName name="_SP13" localSheetId="5">[1]FES!#REF!</definedName>
    <definedName name="_SP13">[1]FES!#REF!</definedName>
    <definedName name="_SP14" localSheetId="4">[1]FES!#REF!</definedName>
    <definedName name="_SP14" localSheetId="5">[1]FES!#REF!</definedName>
    <definedName name="_SP14">[1]FES!#REF!</definedName>
    <definedName name="_SP15" localSheetId="4">[1]FES!#REF!</definedName>
    <definedName name="_SP15" localSheetId="5">[1]FES!#REF!</definedName>
    <definedName name="_SP15">[1]FES!#REF!</definedName>
    <definedName name="_SP16" localSheetId="4">[1]FES!#REF!</definedName>
    <definedName name="_SP16" localSheetId="5">[1]FES!#REF!</definedName>
    <definedName name="_SP16">[1]FES!#REF!</definedName>
    <definedName name="_SP17" localSheetId="4">[1]FES!#REF!</definedName>
    <definedName name="_SP17" localSheetId="5">[1]FES!#REF!</definedName>
    <definedName name="_SP17">[1]FES!#REF!</definedName>
    <definedName name="_SP18" localSheetId="4">[1]FES!#REF!</definedName>
    <definedName name="_SP18" localSheetId="5">[1]FES!#REF!</definedName>
    <definedName name="_SP18">[1]FES!#REF!</definedName>
    <definedName name="_SP19" localSheetId="4">[1]FES!#REF!</definedName>
    <definedName name="_SP19" localSheetId="5">[1]FES!#REF!</definedName>
    <definedName name="_SP19">[1]FES!#REF!</definedName>
    <definedName name="_SP2" localSheetId="4">[1]FES!#REF!</definedName>
    <definedName name="_SP2" localSheetId="5">[1]FES!#REF!</definedName>
    <definedName name="_SP2">[1]FES!#REF!</definedName>
    <definedName name="_SP20" localSheetId="4">[1]FES!#REF!</definedName>
    <definedName name="_SP20" localSheetId="5">[1]FES!#REF!</definedName>
    <definedName name="_SP20">[1]FES!#REF!</definedName>
    <definedName name="_SP3" localSheetId="4">[1]FES!#REF!</definedName>
    <definedName name="_SP3" localSheetId="5">[1]FES!#REF!</definedName>
    <definedName name="_SP3">[1]FES!#REF!</definedName>
    <definedName name="_SP4" localSheetId="4">[1]FES!#REF!</definedName>
    <definedName name="_SP4" localSheetId="5">[1]FES!#REF!</definedName>
    <definedName name="_SP4">[1]FES!#REF!</definedName>
    <definedName name="_SP5" localSheetId="4">[1]FES!#REF!</definedName>
    <definedName name="_SP5" localSheetId="5">[1]FES!#REF!</definedName>
    <definedName name="_SP5">[1]FES!#REF!</definedName>
    <definedName name="_SP7" localSheetId="4">[1]FES!#REF!</definedName>
    <definedName name="_SP7" localSheetId="5">[1]FES!#REF!</definedName>
    <definedName name="_SP7">[1]FES!#REF!</definedName>
    <definedName name="_SP8" localSheetId="4">[1]FES!#REF!</definedName>
    <definedName name="_SP8" localSheetId="5">[1]FES!#REF!</definedName>
    <definedName name="_SP8">[1]FES!#REF!</definedName>
    <definedName name="_SP9" localSheetId="4">[1]FES!#REF!</definedName>
    <definedName name="_SP9" localSheetId="5">[1]FES!#REF!</definedName>
    <definedName name="_SP9">[1]FES!#REF!</definedName>
    <definedName name="CompOt" localSheetId="4">'П 2.1'!CompOt</definedName>
    <definedName name="CompOt" localSheetId="3">'П1.30 '!CompOt</definedName>
    <definedName name="CompOt" localSheetId="5">П2.2!CompOt</definedName>
    <definedName name="CompOt">[0]!CompOt</definedName>
    <definedName name="CompRas" localSheetId="4">'П 2.1'!CompRas</definedName>
    <definedName name="CompRas" localSheetId="3">'П1.30 '!CompRas</definedName>
    <definedName name="CompRas" localSheetId="5">П2.2!CompRas</definedName>
    <definedName name="CompRas">[0]!CompRas</definedName>
    <definedName name="ew" localSheetId="4">'П 2.1'!ew</definedName>
    <definedName name="ew" localSheetId="3">'П1.30 '!ew</definedName>
    <definedName name="ew" localSheetId="5">П2.2!ew</definedName>
    <definedName name="ew">[0]!ew</definedName>
    <definedName name="fg" localSheetId="4">'П 2.1'!fg</definedName>
    <definedName name="fg" localSheetId="3">'П1.30 '!fg</definedName>
    <definedName name="fg" localSheetId="5">П2.2!fg</definedName>
    <definedName name="fg">[0]!fg</definedName>
    <definedName name="k" localSheetId="4">'П 2.1'!k</definedName>
    <definedName name="k" localSheetId="3">'П1.30 '!k</definedName>
    <definedName name="k" localSheetId="5">П2.2!k</definedName>
    <definedName name="k">[0]!k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[2]свод!$E$18:$I$19,[2]свод!$E$23:$H$26,[2]свод!$E$28:$I$29,[2]свод!$E$32:$I$36,[2]свод!$E$38:$I$40,[2]свод!$E$42:$I$53,[2]свод!$E$55:$I$56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[2]свод!$E$58:$I$63,[2]свод!$E$72:$I$79,[2]свод!$E$81:$I$81,[2]свод!$E$85:$H$88,[2]свод!$E$90:$I$90,[2]свод!$E$107:$I$112,[2]свод!$E$114:$I$117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[2]свод!$E$121:$I$121,[2]свод!$E$124:$H$127,[2]свод!$D$135:$G$135,[2]свод!$I$135:$I$140,[2]свод!$H$137:$H$140,[2]свод!$D$138:$G$140,[2]свод!$E$15:$I$16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localSheetId="4" hidden="1">[2]перекрестка!$J$84:$K$88,[2]перекрестка!$N$84:$N$88,[2]перекрестка!$F$14:$G$25,P1_SCOPE_PER_PRT,P2_SCOPE_PER_PRT,P3_SCOPE_PER_PRT,P4_SCOPE_PER_PRT</definedName>
    <definedName name="P8_SCOPE_PER_PRT" localSheetId="3" hidden="1">[2]перекрестка!$J$84:$K$88,[2]перекрестка!$N$84:$N$88,[2]перекрестка!$F$14:$G$25,P1_SCOPE_PER_PRT,P2_SCOPE_PER_PRT,P3_SCOPE_PER_PRT,P4_SCOPE_PER_PRT</definedName>
    <definedName name="P8_SCOPE_PER_PRT" localSheetId="5" hidden="1">[2]перекрестка!$J$84:$K$88,[2]перекрестка!$N$84:$N$88,[2]перекрестка!$F$14:$G$25,P1_SCOPE_PER_PRT,P2_SCOPE_PER_PRT,P3_SCOPE_PER_PRT,P4_SCOPE_PER_PRT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region_name">[3]Титульный!$E$6</definedName>
    <definedName name="REGIONS">[2]TEHSHEET!$C$6:$C$93</definedName>
    <definedName name="S1_" localSheetId="4">#REF!</definedName>
    <definedName name="S1_" localSheetId="5">#REF!</definedName>
    <definedName name="S1_">#REF!</definedName>
    <definedName name="S10_" localSheetId="4">#REF!</definedName>
    <definedName name="S10_" localSheetId="5">#REF!</definedName>
    <definedName name="S10_">#REF!</definedName>
    <definedName name="S11_" localSheetId="4">#REF!</definedName>
    <definedName name="S11_" localSheetId="5">#REF!</definedName>
    <definedName name="S11_">#REF!</definedName>
    <definedName name="S12_" localSheetId="4">#REF!</definedName>
    <definedName name="S12_" localSheetId="5">#REF!</definedName>
    <definedName name="S12_">#REF!</definedName>
    <definedName name="S13_" localSheetId="4">#REF!</definedName>
    <definedName name="S13_" localSheetId="5">#REF!</definedName>
    <definedName name="S13_">#REF!</definedName>
    <definedName name="S14_" localSheetId="4">#REF!</definedName>
    <definedName name="S14_" localSheetId="5">#REF!</definedName>
    <definedName name="S14_">#REF!</definedName>
    <definedName name="S15_" localSheetId="4">#REF!</definedName>
    <definedName name="S15_" localSheetId="5">#REF!</definedName>
    <definedName name="S15_">#REF!</definedName>
    <definedName name="S16_" localSheetId="4">#REF!</definedName>
    <definedName name="S16_" localSheetId="5">#REF!</definedName>
    <definedName name="S16_">#REF!</definedName>
    <definedName name="S17_" localSheetId="4">#REF!</definedName>
    <definedName name="S17_" localSheetId="5">#REF!</definedName>
    <definedName name="S17_">#REF!</definedName>
    <definedName name="S18_" localSheetId="4">#REF!</definedName>
    <definedName name="S18_" localSheetId="5">#REF!</definedName>
    <definedName name="S18_">#REF!</definedName>
    <definedName name="S19_" localSheetId="4">#REF!</definedName>
    <definedName name="S19_" localSheetId="5">#REF!</definedName>
    <definedName name="S19_">#REF!</definedName>
    <definedName name="S2_" localSheetId="4">#REF!</definedName>
    <definedName name="S2_" localSheetId="5">#REF!</definedName>
    <definedName name="S2_">#REF!</definedName>
    <definedName name="S20_" localSheetId="4">#REF!</definedName>
    <definedName name="S20_" localSheetId="5">#REF!</definedName>
    <definedName name="S20_">#REF!</definedName>
    <definedName name="S3_" localSheetId="4">#REF!</definedName>
    <definedName name="S3_" localSheetId="5">#REF!</definedName>
    <definedName name="S3_">#REF!</definedName>
    <definedName name="S4_" localSheetId="4">#REF!</definedName>
    <definedName name="S4_" localSheetId="5">#REF!</definedName>
    <definedName name="S4_">#REF!</definedName>
    <definedName name="S5_" localSheetId="4">#REF!</definedName>
    <definedName name="S5_" localSheetId="5">#REF!</definedName>
    <definedName name="S5_">#REF!</definedName>
    <definedName name="S6_" localSheetId="4">#REF!</definedName>
    <definedName name="S6_" localSheetId="5">#REF!</definedName>
    <definedName name="S6_">#REF!</definedName>
    <definedName name="S7_" localSheetId="4">#REF!</definedName>
    <definedName name="S7_" localSheetId="5">#REF!</definedName>
    <definedName name="S7_">#REF!</definedName>
    <definedName name="S8_" localSheetId="4">#REF!</definedName>
    <definedName name="S8_" localSheetId="5">#REF!</definedName>
    <definedName name="S8_">#REF!</definedName>
    <definedName name="S9_" localSheetId="4">#REF!</definedName>
    <definedName name="S9_" localSheetId="5">#REF!</definedName>
    <definedName name="S9_">#REF!</definedName>
    <definedName name="SCENARIOS">[2]TEHSHEET!$K$6:$K$7</definedName>
    <definedName name="SCOPE_16_PRT" localSheetId="4">P1_SCOPE_16_PRT,P2_SCOPE_16_PRT</definedName>
    <definedName name="SCOPE_16_PRT" localSheetId="3">P1_SCOPE_16_PRT,P2_SCOPE_16_PRT</definedName>
    <definedName name="SCOPE_16_PRT" localSheetId="5">P1_SCOPE_16_PRT,P2_SCOPE_16_PRT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4">'[2]17'!$J$39:$M$41,'[2]17'!$E$43:$H$51,'[2]17'!$J$43:$M$51,'[2]17'!$E$54:$H$56,'[2]17'!$E$58:$H$66,'[2]17'!$E$69:$M$81,'[2]17'!$E$9:$H$11,P1_SCOPE_17_PRT</definedName>
    <definedName name="SCOPE_17_PRT" localSheetId="3">'[2]17'!$J$39:$M$41,'[2]17'!$E$43:$H$51,'[2]17'!$J$43:$M$51,'[2]17'!$E$54:$H$56,'[2]17'!$E$58:$H$66,'[2]17'!$E$69:$M$81,'[2]17'!$E$9:$H$11,P1_SCOPE_17_PRT</definedName>
    <definedName name="SCOPE_17_PRT" localSheetId="5">'[2]17'!$J$39:$M$41,'[2]17'!$E$43:$H$51,'[2]17'!$J$43:$M$51,'[2]17'!$E$54:$H$56,'[2]17'!$E$58:$H$66,'[2]17'!$E$69:$M$81,'[2]17'!$E$9:$H$11,P1_SCOPE_17_PRT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4">'[2]4'!$Z$27:$AC$31,'[2]4'!$F$14:$I$20,P1_SCOPE_4_PRT,P2_SCOPE_4_PRT</definedName>
    <definedName name="SCOPE_4_PRT" localSheetId="3">'[2]4'!$Z$27:$AC$31,'[2]4'!$F$14:$I$20,P1_SCOPE_4_PRT,P2_SCOPE_4_PRT</definedName>
    <definedName name="SCOPE_4_PRT" localSheetId="5">'[2]4'!$Z$27:$AC$31,'[2]4'!$F$14:$I$20,P1_SCOPE_4_PRT,P2_SCOPE_4_PRT</definedName>
    <definedName name="SCOPE_4_PRT">'[2]4'!$Z$27:$AC$31,'[2]4'!$F$14:$I$20,P1_SCOPE_4_PRT,P2_SCOPE_4_PRT</definedName>
    <definedName name="SCOPE_5_PRT" localSheetId="4">'[2]5'!$Z$27:$AC$31,'[2]5'!$F$14:$I$21,P1_SCOPE_5_PRT,P2_SCOPE_5_PRT</definedName>
    <definedName name="SCOPE_5_PRT" localSheetId="3">'[2]5'!$Z$27:$AC$31,'[2]5'!$F$14:$I$21,P1_SCOPE_5_PRT,P2_SCOPE_5_PRT</definedName>
    <definedName name="SCOPE_5_PRT" localSheetId="5">'[2]5'!$Z$27:$AC$31,'[2]5'!$F$14:$I$21,P1_SCOPE_5_PRT,P2_SCOPE_5_PRT</definedName>
    <definedName name="SCOPE_5_PRT">'[2]5'!$Z$27:$AC$31,'[2]5'!$F$14:$I$21,P1_SCOPE_5_PRT,P2_SCOPE_5_PRT</definedName>
    <definedName name="SCOPE_F1_PRT" localSheetId="4">'[2]Ф-1 (для АО-энерго)'!$D$86:$E$95,P1_SCOPE_F1_PRT,P2_SCOPE_F1_PRT,P3_SCOPE_F1_PRT,P4_SCOPE_F1_PRT</definedName>
    <definedName name="SCOPE_F1_PRT" localSheetId="3">'[2]Ф-1 (для АО-энерго)'!$D$86:$E$95,P1_SCOPE_F1_PRT,P2_SCOPE_F1_PRT,P3_SCOPE_F1_PRT,P4_SCOPE_F1_PRT</definedName>
    <definedName name="SCOPE_F1_PRT" localSheetId="5">'[2]Ф-1 (для АО-энерго)'!$D$86:$E$95,P1_SCOPE_F1_PRT,P2_SCOPE_F1_PRT,P3_SCOPE_F1_PRT,P4_SCOPE_F1_PRT</definedName>
    <definedName name="SCOPE_F1_PRT">'[2]Ф-1 (для АО-энерго)'!$D$86:$E$95,P1_SCOPE_F1_PRT,P2_SCOPE_F1_PRT,P3_SCOPE_F1_PRT,P4_SCOPE_F1_PRT</definedName>
    <definedName name="SCOPE_F2_PRT" localSheetId="4">'[2]Ф-2 (для АО-энерго)'!$C$5:$D$5,'[2]Ф-2 (для АО-энерго)'!$C$52:$C$57,'[2]Ф-2 (для АО-энерго)'!$D$57:$G$57,P1_SCOPE_F2_PRT,P2_SCOPE_F2_PRT</definedName>
    <definedName name="SCOPE_F2_PRT" localSheetId="3">'[2]Ф-2 (для АО-энерго)'!$C$5:$D$5,'[2]Ф-2 (для АО-энерго)'!$C$52:$C$57,'[2]Ф-2 (для АО-энерго)'!$D$57:$G$57,P1_SCOPE_F2_PRT,P2_SCOPE_F2_PRT</definedName>
    <definedName name="SCOPE_F2_PRT" localSheetId="5">'[2]Ф-2 (для АО-энерго)'!$C$5:$D$5,'[2]Ф-2 (для АО-энерго)'!$C$52:$C$57,'[2]Ф-2 (для АО-энерго)'!$D$57:$G$57,P1_SCOPE_F2_PRT,P2_SCOPE_F2_PRT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4">P5_SCOPE_PER_PRT,P6_SCOPE_PER_PRT,P7_SCOPE_PER_PRT,'П 2.1'!P8_SCOPE_PER_PRT</definedName>
    <definedName name="SCOPE_PER_PRT" localSheetId="3">P5_SCOPE_PER_PRT,P6_SCOPE_PER_PRT,P7_SCOPE_PER_PRT,'П1.30 '!P8_SCOPE_PER_PRT</definedName>
    <definedName name="SCOPE_PER_PRT" localSheetId="5">P5_SCOPE_PER_PRT,P6_SCOPE_PER_PRT,P7_SCOPE_PER_PRT,П2.2!P8_SCOPE_PER_PRT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 localSheetId="4">[2]свод!$E$104:$M$104,[2]свод!$E$106:$M$117,[2]свод!$E$120:$M$121,[2]свод!$E$123:$M$127,[2]свод!$E$10:$M$68,P1_SCOPE_SV_LD1</definedName>
    <definedName name="SCOPE_SV_LD1" localSheetId="3">[2]свод!$E$104:$M$104,[2]свод!$E$106:$M$117,[2]свод!$E$120:$M$121,[2]свод!$E$123:$M$127,[2]свод!$E$10:$M$68,P1_SCOPE_SV_LD1</definedName>
    <definedName name="SCOPE_SV_LD1" localSheetId="5">[2]свод!$E$104:$M$104,[2]свод!$E$106:$M$117,[2]свод!$E$120:$M$121,[2]свод!$E$123:$M$127,[2]свод!$E$10:$M$68,P1_SCOPE_SV_LD1</definedName>
    <definedName name="SCOPE_SV_LD1">[2]свод!$E$104:$M$104,[2]свод!$E$106:$M$117,[2]свод!$E$120:$M$121,[2]свод!$E$123:$M$127,[2]свод!$E$10:$M$68,P1_SCOPE_SV_LD1</definedName>
    <definedName name="SCOPE_SV_PRT" localSheetId="4">P1_SCOPE_SV_PRT,P2_SCOPE_SV_PRT,P3_SCOPE_SV_PRT</definedName>
    <definedName name="SCOPE_SV_PRT" localSheetId="3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Z_31E4AD08_B536_461B_968A_A35FD04F3581_.wvu.PrintArea" localSheetId="4" hidden="1">'П 2.1'!$A$1:$G$55</definedName>
    <definedName name="Z_31E4AD08_B536_461B_968A_A35FD04F3581_.wvu.PrintArea" localSheetId="5" hidden="1">П2.2!$A$1:$I$51</definedName>
    <definedName name="Z_31E4AD08_B536_461B_968A_A35FD04F3581_.wvu.PrintTitles" localSheetId="4" hidden="1">'П 2.1'!$A:$B</definedName>
    <definedName name="Z_31E4AD08_B536_461B_968A_A35FD04F3581_.wvu.PrintTitles" localSheetId="5" hidden="1">П2.2!$A:$B</definedName>
    <definedName name="Z_31E4AD08_B536_461B_968A_A35FD04F3581_.wvu.Rows" localSheetId="4" hidden="1">'П 2.1'!$22:$22</definedName>
    <definedName name="Z_31E4AD08_B536_461B_968A_A35FD04F3581_.wvu.Rows" localSheetId="5" hidden="1">П2.2!$18:$18</definedName>
    <definedName name="Z_54D2BE98_848D_4F9C_B0F7_738E90419FBF_.wvu.Cols" localSheetId="4" hidden="1">'П 2.1'!$D:$G</definedName>
    <definedName name="Z_54D2BE98_848D_4F9C_B0F7_738E90419FBF_.wvu.PrintArea" localSheetId="4" hidden="1">'П 2.1'!$A$1:$G$55</definedName>
    <definedName name="Z_54D2BE98_848D_4F9C_B0F7_738E90419FBF_.wvu.PrintArea" localSheetId="5" hidden="1">П2.2!$A$1:$I$51</definedName>
    <definedName name="Z_54D2BE98_848D_4F9C_B0F7_738E90419FBF_.wvu.PrintTitles" localSheetId="4" hidden="1">'П 2.1'!$A:$B</definedName>
    <definedName name="Z_54D2BE98_848D_4F9C_B0F7_738E90419FBF_.wvu.PrintTitles" localSheetId="5" hidden="1">П2.2!$A:$B</definedName>
    <definedName name="в23ё" localSheetId="4">'П 2.1'!в23ё</definedName>
    <definedName name="в23ё" localSheetId="3">'П1.30 '!в23ё</definedName>
    <definedName name="в23ё" localSheetId="5">П2.2!в23ё</definedName>
    <definedName name="в23ё">[0]!в23ё</definedName>
    <definedName name="вв" localSheetId="4">'П 2.1'!вв</definedName>
    <definedName name="вв" localSheetId="3">'П1.30 '!вв</definedName>
    <definedName name="вв" localSheetId="5">П2.2!вв</definedName>
    <definedName name="вв">[0]!вв</definedName>
    <definedName name="второй" localSheetId="4">#REF!</definedName>
    <definedName name="второй" localSheetId="5">#REF!</definedName>
    <definedName name="второй">#REF!</definedName>
    <definedName name="_xlnm.Print_Titles" localSheetId="4">'П 2.1'!$A:$B</definedName>
    <definedName name="_xlnm.Print_Titles" localSheetId="3">'П1.30 '!$6:$6</definedName>
    <definedName name="_xlnm.Print_Titles" localSheetId="0">П1.4!$A:$C</definedName>
    <definedName name="_xlnm.Print_Titles" localSheetId="1">П1.5!$A:$C</definedName>
    <definedName name="_xlnm.Print_Titles" localSheetId="2">П1.6!$1:$7</definedName>
    <definedName name="_xlnm.Print_Titles" localSheetId="5">П2.2!$A:$B</definedName>
    <definedName name="й" localSheetId="4">'П 2.1'!й</definedName>
    <definedName name="й" localSheetId="3">'П1.30 '!й</definedName>
    <definedName name="й" localSheetId="5">П2.2!й</definedName>
    <definedName name="й">[0]!й</definedName>
    <definedName name="йй" localSheetId="4">'П 2.1'!йй</definedName>
    <definedName name="йй" localSheetId="3">'П1.30 '!йй</definedName>
    <definedName name="йй" localSheetId="5">П2.2!йй</definedName>
    <definedName name="йй">[0]!йй</definedName>
    <definedName name="ке" localSheetId="4">'П 2.1'!ке</definedName>
    <definedName name="ке" localSheetId="3">'П1.30 '!ке</definedName>
    <definedName name="ке" localSheetId="5">П2.2!ке</definedName>
    <definedName name="ке">[0]!ке</definedName>
    <definedName name="мым" localSheetId="4">'П 2.1'!мым</definedName>
    <definedName name="мым" localSheetId="3">'П1.30 '!мым</definedName>
    <definedName name="мым" localSheetId="5">П2.2!мым</definedName>
    <definedName name="мым">[0]!мым</definedName>
    <definedName name="_xlnm.Print_Area" localSheetId="4">'П 2.1'!$A$1:$G$48</definedName>
    <definedName name="_xlnm.Print_Area" localSheetId="3">'П1.30 '!$A$1:$N$161</definedName>
    <definedName name="_xlnm.Print_Area" localSheetId="0">П1.4!$A$1:$R$30</definedName>
    <definedName name="_xlnm.Print_Area" localSheetId="5">П2.2!$A$1:$E$51</definedName>
    <definedName name="первый" localSheetId="4">#REF!</definedName>
    <definedName name="первый" localSheetId="5">#REF!</definedName>
    <definedName name="первый">#REF!</definedName>
    <definedName name="с" localSheetId="4">'П 2.1'!с</definedName>
    <definedName name="с" localSheetId="3">'П1.30 '!с</definedName>
    <definedName name="с" localSheetId="5">П2.2!с</definedName>
    <definedName name="с">[0]!с</definedName>
    <definedName name="сс" localSheetId="4">'П 2.1'!сс</definedName>
    <definedName name="сс" localSheetId="3">'П1.30 '!сс</definedName>
    <definedName name="сс" localSheetId="5">П2.2!сс</definedName>
    <definedName name="сс">[0]!сс</definedName>
    <definedName name="сссс" localSheetId="4">'П 2.1'!сссс</definedName>
    <definedName name="сссс" localSheetId="3">'П1.30 '!сссс</definedName>
    <definedName name="сссс" localSheetId="5">П2.2!сссс</definedName>
    <definedName name="сссс">[0]!сссс</definedName>
    <definedName name="ссы" localSheetId="4">'П 2.1'!ссы</definedName>
    <definedName name="ссы" localSheetId="3">'П1.30 '!ссы</definedName>
    <definedName name="ссы" localSheetId="5">П2.2!ссы</definedName>
    <definedName name="ссы">[0]!ссы</definedName>
    <definedName name="третий" localSheetId="4">#REF!</definedName>
    <definedName name="третий" localSheetId="5">#REF!</definedName>
    <definedName name="третий">#REF!</definedName>
    <definedName name="у" localSheetId="4">'П 2.1'!у</definedName>
    <definedName name="у" localSheetId="3">'П1.30 '!у</definedName>
    <definedName name="у" localSheetId="5">П2.2!у</definedName>
    <definedName name="у">[0]!у</definedName>
    <definedName name="ц" localSheetId="4">'П 2.1'!ц</definedName>
    <definedName name="ц" localSheetId="3">'П1.30 '!ц</definedName>
    <definedName name="ц" localSheetId="5">П2.2!ц</definedName>
    <definedName name="ц">[0]!ц</definedName>
    <definedName name="цу" localSheetId="4">'П 2.1'!цу</definedName>
    <definedName name="цу" localSheetId="3">'П1.30 '!цу</definedName>
    <definedName name="цу" localSheetId="5">П2.2!цу</definedName>
    <definedName name="цу">[0]!цу</definedName>
    <definedName name="четвертый" localSheetId="4">#REF!</definedName>
    <definedName name="четвертый" localSheetId="5">#REF!</definedName>
    <definedName name="четвертый">#REF!</definedName>
    <definedName name="ыв" localSheetId="4">'П 2.1'!ыв</definedName>
    <definedName name="ыв" localSheetId="3">'П1.30 '!ыв</definedName>
    <definedName name="ыв" localSheetId="5">П2.2!ыв</definedName>
    <definedName name="ыв">[0]!ыв</definedName>
    <definedName name="ыыыы" localSheetId="4">'П 2.1'!ыыыы</definedName>
    <definedName name="ыыыы" localSheetId="3">'П1.30 '!ыыыы</definedName>
    <definedName name="ыыыы" localSheetId="5">П2.2!ыыыы</definedName>
    <definedName name="ыыыы">[0]!ыыыы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6" l="1"/>
  <c r="M129" i="36" l="1"/>
  <c r="M118" i="36"/>
  <c r="Q27" i="34"/>
  <c r="Q30" i="34"/>
  <c r="J102" i="35"/>
  <c r="M99" i="36"/>
  <c r="O27" i="34"/>
  <c r="O30" i="34"/>
  <c r="K110" i="35" l="1"/>
  <c r="I110" i="35"/>
  <c r="K102" i="35"/>
  <c r="K101" i="35" s="1"/>
  <c r="J104" i="35"/>
  <c r="I103" i="35"/>
  <c r="J101" i="35"/>
  <c r="I102" i="35"/>
  <c r="J26" i="35"/>
  <c r="K26" i="35"/>
  <c r="I26" i="35"/>
  <c r="I101" i="35"/>
  <c r="I111" i="35"/>
  <c r="J111" i="35"/>
  <c r="K111" i="35"/>
  <c r="J110" i="35"/>
  <c r="I109" i="35"/>
  <c r="I108" i="35"/>
  <c r="J107" i="35"/>
  <c r="I107" i="35"/>
  <c r="Q23" i="34" l="1"/>
  <c r="Q17" i="34"/>
  <c r="T8" i="34"/>
  <c r="T9" i="34"/>
  <c r="U9" i="34"/>
  <c r="V9" i="34"/>
  <c r="T10" i="34"/>
  <c r="U10" i="34"/>
  <c r="V10" i="34"/>
  <c r="T11" i="34"/>
  <c r="V11" i="34"/>
  <c r="T12" i="34"/>
  <c r="U12" i="34"/>
  <c r="T13" i="34"/>
  <c r="U13" i="34"/>
  <c r="V13" i="34"/>
  <c r="T14" i="34"/>
  <c r="U14" i="34"/>
  <c r="V14" i="34"/>
  <c r="T15" i="34"/>
  <c r="U15" i="34"/>
  <c r="V15" i="34"/>
  <c r="T16" i="34"/>
  <c r="U16" i="34"/>
  <c r="V16" i="34"/>
  <c r="T17" i="34"/>
  <c r="U17" i="34"/>
  <c r="V17" i="34"/>
  <c r="T19" i="34"/>
  <c r="U19" i="34"/>
  <c r="V19" i="34"/>
  <c r="T20" i="34"/>
  <c r="U20" i="34"/>
  <c r="V20" i="34"/>
  <c r="T23" i="34"/>
  <c r="U23" i="34"/>
  <c r="V23" i="34"/>
  <c r="T26" i="34"/>
  <c r="U26" i="34"/>
  <c r="V26" i="34"/>
  <c r="T27" i="34"/>
  <c r="U27" i="34"/>
  <c r="V27" i="34"/>
  <c r="T28" i="34"/>
  <c r="U28" i="34"/>
  <c r="V28" i="34"/>
  <c r="T29" i="34"/>
  <c r="U29" i="34"/>
  <c r="V29" i="34"/>
  <c r="T30" i="34"/>
  <c r="U30" i="34"/>
  <c r="V30" i="34"/>
  <c r="S8" i="34"/>
  <c r="S9" i="34"/>
  <c r="S10" i="34"/>
  <c r="S11" i="34"/>
  <c r="S12" i="34"/>
  <c r="S13" i="34"/>
  <c r="S14" i="34"/>
  <c r="S15" i="34"/>
  <c r="S19" i="34"/>
  <c r="S20" i="34"/>
  <c r="S26" i="34"/>
  <c r="S28" i="34"/>
  <c r="S29" i="34"/>
  <c r="P17" i="34"/>
  <c r="P30" i="34"/>
  <c r="O16" i="34"/>
  <c r="D27" i="34"/>
  <c r="F24" i="34"/>
  <c r="E24" i="34"/>
  <c r="E105" i="35" l="1"/>
  <c r="F105" i="35"/>
  <c r="D105" i="35"/>
  <c r="D107" i="35"/>
  <c r="E107" i="35"/>
  <c r="F107" i="35"/>
  <c r="D108" i="35"/>
  <c r="E108" i="35"/>
  <c r="F108" i="35"/>
  <c r="D109" i="35"/>
  <c r="E109" i="35"/>
  <c r="F109" i="35"/>
  <c r="D110" i="35"/>
  <c r="E110" i="35"/>
  <c r="F110" i="35"/>
  <c r="D111" i="35"/>
  <c r="E111" i="35"/>
  <c r="C111" i="35" s="1"/>
  <c r="F111" i="35"/>
  <c r="E106" i="35"/>
  <c r="F106" i="35"/>
  <c r="E104" i="35"/>
  <c r="D103" i="35"/>
  <c r="E102" i="35"/>
  <c r="E101" i="35" s="1"/>
  <c r="F102" i="35"/>
  <c r="F101" i="35" s="1"/>
  <c r="H111" i="35"/>
  <c r="H110" i="35"/>
  <c r="C110" i="35"/>
  <c r="H109" i="35"/>
  <c r="C109" i="35"/>
  <c r="H108" i="35"/>
  <c r="C108" i="35"/>
  <c r="H107" i="35"/>
  <c r="C107" i="35"/>
  <c r="H71" i="35"/>
  <c r="C71" i="35"/>
  <c r="H70" i="35"/>
  <c r="C70" i="35"/>
  <c r="H69" i="35"/>
  <c r="C69" i="35"/>
  <c r="H68" i="35"/>
  <c r="C68" i="35"/>
  <c r="H67" i="35"/>
  <c r="C67" i="35"/>
  <c r="H28" i="35"/>
  <c r="C28" i="35"/>
  <c r="M71" i="35" l="1"/>
  <c r="M70" i="35"/>
  <c r="M109" i="35"/>
  <c r="M69" i="35"/>
  <c r="M108" i="35"/>
  <c r="M68" i="35"/>
  <c r="M107" i="35"/>
  <c r="M67" i="35"/>
  <c r="M28" i="35"/>
  <c r="M110" i="35"/>
  <c r="M111" i="35"/>
  <c r="H104" i="35"/>
  <c r="C31" i="35" l="1"/>
  <c r="H31" i="35"/>
  <c r="M31" i="35" l="1"/>
  <c r="I65" i="35"/>
  <c r="I105" i="35"/>
  <c r="J105" i="35"/>
  <c r="J96" i="35" s="1"/>
  <c r="K105" i="35"/>
  <c r="K96" i="35" s="1"/>
  <c r="J65" i="35"/>
  <c r="K65" i="35"/>
  <c r="K88" i="35"/>
  <c r="K48" i="35"/>
  <c r="K9" i="35"/>
  <c r="H12" i="35"/>
  <c r="H51" i="35"/>
  <c r="H91" i="35"/>
  <c r="E26" i="35"/>
  <c r="E65" i="35"/>
  <c r="F26" i="35"/>
  <c r="D26" i="35"/>
  <c r="F65" i="35"/>
  <c r="D65" i="35"/>
  <c r="F48" i="35"/>
  <c r="F9" i="35"/>
  <c r="E91" i="35"/>
  <c r="C51" i="35"/>
  <c r="C12" i="35"/>
  <c r="F90" i="35"/>
  <c r="B117" i="35" l="1"/>
  <c r="F117" i="35"/>
  <c r="N30" i="34" l="1"/>
  <c r="Q24" i="34"/>
  <c r="P27" i="34"/>
  <c r="O23" i="34"/>
  <c r="O17" i="34"/>
  <c r="P16" i="34"/>
  <c r="Q16" i="34"/>
  <c r="N17" i="34" l="1"/>
  <c r="P11" i="34"/>
  <c r="P7" i="34" s="1"/>
  <c r="P24" i="34"/>
  <c r="N27" i="34"/>
  <c r="N16" i="34"/>
  <c r="J88" i="35"/>
  <c r="H52" i="35"/>
  <c r="H13" i="35"/>
  <c r="C13" i="35"/>
  <c r="C52" i="35"/>
  <c r="J48" i="35"/>
  <c r="E48" i="35"/>
  <c r="J9" i="35"/>
  <c r="E9" i="35"/>
  <c r="M134" i="36" l="1"/>
  <c r="M81" i="36"/>
  <c r="M89" i="36" l="1"/>
  <c r="I89" i="36"/>
  <c r="E89" i="36"/>
  <c r="M108" i="36"/>
  <c r="I108" i="36"/>
  <c r="E108" i="36"/>
  <c r="M85" i="36"/>
  <c r="I85" i="36"/>
  <c r="E85" i="36"/>
  <c r="I81" i="36"/>
  <c r="E81" i="36"/>
  <c r="E134" i="36"/>
  <c r="M38" i="36"/>
  <c r="K72" i="35" l="1"/>
  <c r="J72" i="35"/>
  <c r="I72" i="35"/>
  <c r="E72" i="35"/>
  <c r="F72" i="35"/>
  <c r="D72" i="35"/>
  <c r="K61" i="35"/>
  <c r="J61" i="35"/>
  <c r="I61" i="35"/>
  <c r="F61" i="35"/>
  <c r="E61" i="35"/>
  <c r="D61" i="35"/>
  <c r="K22" i="35"/>
  <c r="J22" i="35"/>
  <c r="I22" i="35"/>
  <c r="K33" i="35"/>
  <c r="J33" i="35"/>
  <c r="I33" i="35"/>
  <c r="E22" i="35"/>
  <c r="F22" i="35"/>
  <c r="D22" i="35"/>
  <c r="E33" i="35"/>
  <c r="F33" i="35"/>
  <c r="D33" i="35"/>
  <c r="K112" i="35"/>
  <c r="H78" i="35"/>
  <c r="D17" i="35" l="1"/>
  <c r="H61" i="35"/>
  <c r="H65" i="35"/>
  <c r="K11" i="34"/>
  <c r="F11" i="34"/>
  <c r="U11" i="34" s="1"/>
  <c r="D23" i="33" l="1"/>
  <c r="G89" i="36"/>
  <c r="G85" i="36"/>
  <c r="E140" i="36"/>
  <c r="C140" i="36"/>
  <c r="C89" i="36"/>
  <c r="G108" i="36"/>
  <c r="C108" i="36"/>
  <c r="G81" i="36"/>
  <c r="C81" i="36"/>
  <c r="C85" i="36"/>
  <c r="I38" i="36"/>
  <c r="D113" i="35"/>
  <c r="E113" i="35"/>
  <c r="C78" i="35" l="1"/>
  <c r="E92" i="35"/>
  <c r="K11" i="33"/>
  <c r="F11" i="33"/>
  <c r="G38" i="36" l="1"/>
  <c r="K38" i="36" s="1"/>
  <c r="E88" i="35"/>
  <c r="O18" i="34"/>
  <c r="J18" i="34"/>
  <c r="E18" i="34"/>
  <c r="T18" i="34" s="1"/>
  <c r="J120" i="35" l="1"/>
  <c r="J80" i="35"/>
  <c r="J40" i="35"/>
  <c r="D50" i="38" l="1"/>
  <c r="D49" i="38"/>
  <c r="D48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F48" i="37"/>
  <c r="F47" i="37"/>
  <c r="F46" i="37"/>
  <c r="F45" i="37"/>
  <c r="F44" i="37"/>
  <c r="G42" i="37"/>
  <c r="G41" i="37"/>
  <c r="G40" i="37"/>
  <c r="G39" i="37"/>
  <c r="G43" i="37" s="1"/>
  <c r="G48" i="37" s="1"/>
  <c r="G36" i="37"/>
  <c r="G35" i="37"/>
  <c r="G34" i="37"/>
  <c r="G33" i="37"/>
  <c r="G32" i="37"/>
  <c r="G31" i="37"/>
  <c r="G30" i="37"/>
  <c r="G29" i="37"/>
  <c r="G28" i="37"/>
  <c r="G27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26" i="37" s="1"/>
  <c r="G45" i="37" s="1"/>
  <c r="G13" i="37"/>
  <c r="G12" i="37"/>
  <c r="G11" i="37"/>
  <c r="G10" i="37"/>
  <c r="G9" i="37"/>
  <c r="G8" i="37"/>
  <c r="G37" i="37" l="1"/>
  <c r="G46" i="37" s="1"/>
  <c r="E48" i="38"/>
  <c r="E50" i="38"/>
  <c r="E49" i="38"/>
  <c r="D51" i="38"/>
  <c r="D47" i="38" s="1"/>
  <c r="G38" i="37"/>
  <c r="G47" i="37" s="1"/>
  <c r="G44" i="37" l="1"/>
  <c r="E51" i="38"/>
  <c r="E47" i="38" s="1"/>
  <c r="P21" i="34" l="1"/>
  <c r="P22" i="34" s="1"/>
  <c r="Q21" i="34"/>
  <c r="Q22" i="34" s="1"/>
  <c r="O21" i="34"/>
  <c r="O22" i="34" s="1"/>
  <c r="K21" i="34"/>
  <c r="K22" i="34" s="1"/>
  <c r="L21" i="34"/>
  <c r="L22" i="34" s="1"/>
  <c r="J21" i="34"/>
  <c r="J22" i="34" s="1"/>
  <c r="F21" i="34"/>
  <c r="G21" i="34"/>
  <c r="E21" i="34"/>
  <c r="E22" i="34" l="1"/>
  <c r="T22" i="34" s="1"/>
  <c r="T21" i="34"/>
  <c r="G22" i="34"/>
  <c r="V22" i="34" s="1"/>
  <c r="V21" i="34"/>
  <c r="F22" i="34"/>
  <c r="U22" i="34" s="1"/>
  <c r="U21" i="34"/>
  <c r="I16" i="33"/>
  <c r="D16" i="33"/>
  <c r="D7" i="33" s="1"/>
  <c r="C10" i="36" s="1"/>
  <c r="C12" i="36" s="1"/>
  <c r="L21" i="33"/>
  <c r="L22" i="33" s="1"/>
  <c r="K21" i="33"/>
  <c r="K22" i="33" s="1"/>
  <c r="J21" i="33"/>
  <c r="F21" i="33"/>
  <c r="G21" i="33"/>
  <c r="E21" i="33"/>
  <c r="I21" i="33" l="1"/>
  <c r="J22" i="33"/>
  <c r="I22" i="33" s="1"/>
  <c r="I7" i="33"/>
  <c r="G10" i="36" s="1"/>
  <c r="G12" i="36" s="1"/>
  <c r="K8" i="33"/>
  <c r="K7" i="33"/>
  <c r="J7" i="33"/>
  <c r="J18" i="33" s="1"/>
  <c r="F7" i="33"/>
  <c r="F8" i="33"/>
  <c r="E7" i="33"/>
  <c r="E18" i="33" s="1"/>
  <c r="I29" i="33"/>
  <c r="I27" i="33"/>
  <c r="D29" i="33"/>
  <c r="D27" i="33"/>
  <c r="I17" i="33"/>
  <c r="I18" i="33" s="1"/>
  <c r="D17" i="33"/>
  <c r="D18" i="33" s="1"/>
  <c r="K24" i="33"/>
  <c r="L24" i="33"/>
  <c r="J24" i="33"/>
  <c r="G78" i="36" s="1"/>
  <c r="F24" i="33"/>
  <c r="G24" i="33"/>
  <c r="E24" i="33"/>
  <c r="F22" i="33"/>
  <c r="G22" i="33"/>
  <c r="E22" i="33"/>
  <c r="D24" i="33" l="1"/>
  <c r="O24" i="33"/>
  <c r="F18" i="33"/>
  <c r="G12" i="33"/>
  <c r="I24" i="33"/>
  <c r="L12" i="33"/>
  <c r="K18" i="33"/>
  <c r="N24" i="33" l="1"/>
  <c r="G7" i="33"/>
  <c r="G18" i="33" s="1"/>
  <c r="G8" i="33"/>
  <c r="L8" i="33"/>
  <c r="L7" i="33"/>
  <c r="L18" i="33" s="1"/>
  <c r="B1" i="34"/>
  <c r="I3" i="35" l="1"/>
  <c r="A3" i="37"/>
  <c r="M131" i="36"/>
  <c r="M128" i="36"/>
  <c r="M106" i="36"/>
  <c r="M105" i="36"/>
  <c r="M102" i="36"/>
  <c r="M80" i="36"/>
  <c r="M77" i="36"/>
  <c r="K136" i="36"/>
  <c r="K122" i="36"/>
  <c r="K110" i="36"/>
  <c r="K108" i="36"/>
  <c r="K96" i="36"/>
  <c r="K87" i="36"/>
  <c r="K85" i="36"/>
  <c r="K83" i="36"/>
  <c r="K71" i="36"/>
  <c r="K32" i="36"/>
  <c r="K30" i="36"/>
  <c r="K28" i="36"/>
  <c r="K24" i="36"/>
  <c r="K13" i="36"/>
  <c r="K14" i="36"/>
  <c r="K15" i="36"/>
  <c r="K16" i="36"/>
  <c r="K12" i="36"/>
  <c r="M126" i="36"/>
  <c r="M137" i="36" s="1"/>
  <c r="M100" i="36"/>
  <c r="M111" i="36" s="1"/>
  <c r="M76" i="36"/>
  <c r="M88" i="36" s="1"/>
  <c r="M33" i="36"/>
  <c r="M31" i="36"/>
  <c r="M29" i="36"/>
  <c r="G134" i="36"/>
  <c r="I134" i="36"/>
  <c r="I131" i="36"/>
  <c r="I128" i="36"/>
  <c r="I106" i="36"/>
  <c r="I105" i="36"/>
  <c r="I102" i="36"/>
  <c r="I80" i="36"/>
  <c r="I77" i="36"/>
  <c r="G140" i="36"/>
  <c r="G138" i="36"/>
  <c r="G131" i="36"/>
  <c r="G128" i="36"/>
  <c r="G120" i="36"/>
  <c r="G123" i="36" s="1"/>
  <c r="G106" i="36"/>
  <c r="G105" i="36"/>
  <c r="G103" i="36"/>
  <c r="G102" i="36"/>
  <c r="G94" i="36"/>
  <c r="G80" i="36"/>
  <c r="G77" i="36"/>
  <c r="G69" i="36"/>
  <c r="I23" i="33"/>
  <c r="G39" i="36" s="1"/>
  <c r="G21" i="36"/>
  <c r="G18" i="36"/>
  <c r="I126" i="36"/>
  <c r="I137" i="36" s="1"/>
  <c r="G126" i="36"/>
  <c r="G137" i="36" s="1"/>
  <c r="I100" i="36"/>
  <c r="I111" i="36" s="1"/>
  <c r="G100" i="36"/>
  <c r="G111" i="36" s="1"/>
  <c r="I76" i="36"/>
  <c r="I88" i="36" s="1"/>
  <c r="G76" i="36"/>
  <c r="G88" i="36" s="1"/>
  <c r="G74" i="36"/>
  <c r="G84" i="36" s="1"/>
  <c r="I33" i="36"/>
  <c r="G33" i="36"/>
  <c r="I31" i="36"/>
  <c r="G31" i="36"/>
  <c r="I29" i="36"/>
  <c r="G29" i="36"/>
  <c r="G25" i="36"/>
  <c r="G7" i="36"/>
  <c r="E131" i="36"/>
  <c r="E128" i="36"/>
  <c r="E106" i="36"/>
  <c r="E105" i="36"/>
  <c r="E102" i="36"/>
  <c r="E77" i="36"/>
  <c r="E80" i="36"/>
  <c r="E126" i="36"/>
  <c r="E137" i="36" s="1"/>
  <c r="E100" i="36"/>
  <c r="E111" i="36" s="1"/>
  <c r="E76" i="36"/>
  <c r="E88" i="36" s="1"/>
  <c r="E33" i="36"/>
  <c r="E31" i="36"/>
  <c r="E29" i="36"/>
  <c r="C134" i="36"/>
  <c r="C131" i="36"/>
  <c r="C128" i="36"/>
  <c r="C126" i="36"/>
  <c r="C120" i="36"/>
  <c r="C106" i="36"/>
  <c r="C105" i="36"/>
  <c r="K105" i="36" s="1"/>
  <c r="C103" i="36"/>
  <c r="C102" i="36"/>
  <c r="K102" i="36" s="1"/>
  <c r="C100" i="36"/>
  <c r="B101" i="36"/>
  <c r="C94" i="36"/>
  <c r="C97" i="36" s="1"/>
  <c r="C80" i="36"/>
  <c r="C78" i="36"/>
  <c r="C77" i="36"/>
  <c r="C76" i="36"/>
  <c r="C88" i="36" s="1"/>
  <c r="K88" i="36" s="1"/>
  <c r="C74" i="36"/>
  <c r="K74" i="36" s="1"/>
  <c r="B75" i="36"/>
  <c r="B85" i="36" s="1"/>
  <c r="B99" i="36" s="1"/>
  <c r="B108" i="36" s="1"/>
  <c r="B125" i="36" s="1"/>
  <c r="B134" i="36" s="1"/>
  <c r="B76" i="36"/>
  <c r="B74" i="36"/>
  <c r="B83" i="36" s="1"/>
  <c r="C69" i="36"/>
  <c r="C39" i="36"/>
  <c r="B35" i="36"/>
  <c r="B113" i="36" s="1"/>
  <c r="B36" i="36"/>
  <c r="B114" i="36" s="1"/>
  <c r="B37" i="36"/>
  <c r="B138" i="36" s="1"/>
  <c r="B34" i="36"/>
  <c r="B112" i="36" s="1"/>
  <c r="C33" i="36"/>
  <c r="B32" i="36"/>
  <c r="B100" i="36" s="1"/>
  <c r="B110" i="36" s="1"/>
  <c r="C31" i="36"/>
  <c r="K31" i="36" s="1"/>
  <c r="B30" i="36"/>
  <c r="B126" i="36" s="1"/>
  <c r="B136" i="36" s="1"/>
  <c r="C29" i="36"/>
  <c r="K29" i="36" s="1"/>
  <c r="B28" i="36"/>
  <c r="B26" i="36"/>
  <c r="C25" i="36"/>
  <c r="B24" i="36"/>
  <c r="C22" i="36"/>
  <c r="C21" i="36"/>
  <c r="C18" i="36"/>
  <c r="C7" i="36"/>
  <c r="F95" i="35"/>
  <c r="C95" i="35" s="1"/>
  <c r="F92" i="35"/>
  <c r="C92" i="35" s="1"/>
  <c r="E114" i="35"/>
  <c r="F113" i="35"/>
  <c r="C113" i="35" s="1"/>
  <c r="C117" i="35"/>
  <c r="E115" i="35"/>
  <c r="C115" i="35" s="1"/>
  <c r="G119" i="35"/>
  <c r="G79" i="35"/>
  <c r="D106" i="35"/>
  <c r="M104" i="35"/>
  <c r="C103" i="35"/>
  <c r="D102" i="35"/>
  <c r="D101" i="35" s="1"/>
  <c r="F91" i="35"/>
  <c r="D91" i="35"/>
  <c r="C90" i="35"/>
  <c r="H117" i="35"/>
  <c r="M37" i="36" s="1"/>
  <c r="M138" i="36" s="1"/>
  <c r="M36" i="36"/>
  <c r="M114" i="36" s="1"/>
  <c r="H115" i="35"/>
  <c r="M35" i="36" s="1"/>
  <c r="M113" i="36" s="1"/>
  <c r="H114" i="35"/>
  <c r="M34" i="36" s="1"/>
  <c r="M112" i="36" s="1"/>
  <c r="H113" i="35"/>
  <c r="M26" i="36" s="1"/>
  <c r="J112" i="35"/>
  <c r="I112" i="35"/>
  <c r="D112" i="35"/>
  <c r="I37" i="36"/>
  <c r="I138" i="36" s="1"/>
  <c r="I36" i="36"/>
  <c r="I114" i="36" s="1"/>
  <c r="G114" i="36"/>
  <c r="H75" i="35"/>
  <c r="I35" i="36" s="1"/>
  <c r="I113" i="36" s="1"/>
  <c r="C75" i="35"/>
  <c r="H74" i="35"/>
  <c r="I34" i="36" s="1"/>
  <c r="I112" i="36" s="1"/>
  <c r="C74" i="35"/>
  <c r="H73" i="35"/>
  <c r="I26" i="36" s="1"/>
  <c r="I27" i="36" s="1"/>
  <c r="C73" i="35"/>
  <c r="G26" i="36" s="1"/>
  <c r="I96" i="35"/>
  <c r="H96" i="35" s="1"/>
  <c r="M96" i="35" s="1"/>
  <c r="H95" i="35"/>
  <c r="H92" i="35"/>
  <c r="H90" i="35"/>
  <c r="K120" i="35"/>
  <c r="I88" i="35"/>
  <c r="H88" i="35" s="1"/>
  <c r="H55" i="35"/>
  <c r="C55" i="35"/>
  <c r="H50" i="35"/>
  <c r="C50" i="35"/>
  <c r="K80" i="35"/>
  <c r="I48" i="35"/>
  <c r="D48" i="35"/>
  <c r="H106" i="35"/>
  <c r="H66" i="35"/>
  <c r="C66" i="35"/>
  <c r="K56" i="35"/>
  <c r="H103" i="35"/>
  <c r="H102" i="35"/>
  <c r="H64" i="35"/>
  <c r="C64" i="35"/>
  <c r="H63" i="35"/>
  <c r="C63" i="35"/>
  <c r="H62" i="35"/>
  <c r="C62" i="35"/>
  <c r="H23" i="35"/>
  <c r="H24" i="35"/>
  <c r="H25" i="35"/>
  <c r="H27" i="35"/>
  <c r="H29" i="35"/>
  <c r="H30" i="35"/>
  <c r="H32" i="35"/>
  <c r="H34" i="35"/>
  <c r="H35" i="35"/>
  <c r="E34" i="36" s="1"/>
  <c r="E112" i="36" s="1"/>
  <c r="H36" i="35"/>
  <c r="E35" i="36" s="1"/>
  <c r="E113" i="36" s="1"/>
  <c r="E36" i="36"/>
  <c r="E114" i="36" s="1"/>
  <c r="H38" i="35"/>
  <c r="K17" i="35"/>
  <c r="C36" i="36"/>
  <c r="C38" i="35"/>
  <c r="C37" i="36" s="1"/>
  <c r="C35" i="35"/>
  <c r="C34" i="36" s="1"/>
  <c r="C36" i="35"/>
  <c r="C35" i="36" s="1"/>
  <c r="C113" i="36" s="1"/>
  <c r="C34" i="35"/>
  <c r="C26" i="36" s="1"/>
  <c r="C27" i="36" s="1"/>
  <c r="C25" i="35"/>
  <c r="M25" i="35" s="1"/>
  <c r="C24" i="35"/>
  <c r="C23" i="35"/>
  <c r="C27" i="35"/>
  <c r="C29" i="35"/>
  <c r="C30" i="35"/>
  <c r="C32" i="35"/>
  <c r="H16" i="35"/>
  <c r="H11" i="35"/>
  <c r="K40" i="35"/>
  <c r="I9" i="35"/>
  <c r="C16" i="35"/>
  <c r="M16" i="35" s="1"/>
  <c r="D9" i="35"/>
  <c r="C9" i="35" s="1"/>
  <c r="C11" i="35"/>
  <c r="O7" i="34"/>
  <c r="M69" i="36" s="1"/>
  <c r="M21" i="36"/>
  <c r="O24" i="34"/>
  <c r="N23" i="34"/>
  <c r="M39" i="36" s="1"/>
  <c r="N22" i="34"/>
  <c r="N21" i="34"/>
  <c r="M18" i="36"/>
  <c r="P8" i="34"/>
  <c r="Q12" i="34"/>
  <c r="M91" i="36" l="1"/>
  <c r="C75" i="36"/>
  <c r="C86" i="36" s="1"/>
  <c r="C102" i="35"/>
  <c r="M102" i="35" s="1"/>
  <c r="C104" i="35"/>
  <c r="F96" i="35"/>
  <c r="C91" i="35"/>
  <c r="M91" i="35" s="1"/>
  <c r="I80" i="35"/>
  <c r="H48" i="35"/>
  <c r="F88" i="35"/>
  <c r="E112" i="35"/>
  <c r="C48" i="35"/>
  <c r="I120" i="35"/>
  <c r="M24" i="35"/>
  <c r="I40" i="35"/>
  <c r="H9" i="35"/>
  <c r="K33" i="36"/>
  <c r="K119" i="35"/>
  <c r="M12" i="35"/>
  <c r="M50" i="35"/>
  <c r="M55" i="35"/>
  <c r="J17" i="35"/>
  <c r="J39" i="35" s="1"/>
  <c r="E26" i="36"/>
  <c r="P18" i="34"/>
  <c r="K100" i="36"/>
  <c r="K126" i="36"/>
  <c r="K7" i="36"/>
  <c r="K18" i="36"/>
  <c r="K103" i="36"/>
  <c r="K106" i="36"/>
  <c r="K78" i="36"/>
  <c r="K81" i="36"/>
  <c r="K134" i="36"/>
  <c r="K76" i="36"/>
  <c r="H112" i="35"/>
  <c r="F112" i="35"/>
  <c r="M115" i="35"/>
  <c r="M11" i="35"/>
  <c r="H72" i="35"/>
  <c r="M95" i="35"/>
  <c r="M94" i="36"/>
  <c r="M97" i="36" s="1"/>
  <c r="K21" i="36"/>
  <c r="K80" i="36"/>
  <c r="H26" i="35"/>
  <c r="K25" i="36"/>
  <c r="K10" i="36"/>
  <c r="D56" i="35"/>
  <c r="D79" i="35" s="1"/>
  <c r="J25" i="33" s="1"/>
  <c r="C106" i="35"/>
  <c r="M106" i="35" s="1"/>
  <c r="C26" i="35"/>
  <c r="M27" i="35"/>
  <c r="K77" i="36"/>
  <c r="C137" i="36"/>
  <c r="K137" i="36" s="1"/>
  <c r="K39" i="36"/>
  <c r="C84" i="36"/>
  <c r="K84" i="36" s="1"/>
  <c r="C111" i="36"/>
  <c r="K111" i="36" s="1"/>
  <c r="M27" i="36"/>
  <c r="K120" i="36"/>
  <c r="K131" i="36"/>
  <c r="F17" i="35"/>
  <c r="F39" i="35" s="1"/>
  <c r="G25" i="33" s="1"/>
  <c r="M38" i="35"/>
  <c r="M34" i="35"/>
  <c r="M103" i="35"/>
  <c r="C61" i="35"/>
  <c r="M61" i="35" s="1"/>
  <c r="M73" i="35"/>
  <c r="M74" i="35"/>
  <c r="G34" i="36"/>
  <c r="K34" i="36" s="1"/>
  <c r="M75" i="35"/>
  <c r="G35" i="36"/>
  <c r="K35" i="36" s="1"/>
  <c r="G36" i="36"/>
  <c r="K36" i="36" s="1"/>
  <c r="G37" i="36"/>
  <c r="K37" i="36" s="1"/>
  <c r="E27" i="36"/>
  <c r="E37" i="36"/>
  <c r="E138" i="36" s="1"/>
  <c r="G112" i="36"/>
  <c r="G113" i="36"/>
  <c r="K113" i="36" s="1"/>
  <c r="M22" i="36"/>
  <c r="M103" i="36"/>
  <c r="M78" i="36"/>
  <c r="G132" i="36"/>
  <c r="C114" i="36"/>
  <c r="K114" i="36" s="1"/>
  <c r="C138" i="36"/>
  <c r="K138" i="36" s="1"/>
  <c r="C112" i="36"/>
  <c r="M140" i="36"/>
  <c r="C19" i="36"/>
  <c r="C118" i="36"/>
  <c r="C123" i="36"/>
  <c r="K69" i="36"/>
  <c r="K94" i="36"/>
  <c r="K128" i="36"/>
  <c r="M101" i="36"/>
  <c r="M72" i="36"/>
  <c r="G118" i="36"/>
  <c r="G127" i="36" s="1"/>
  <c r="G125" i="36" s="1"/>
  <c r="G135" i="36" s="1"/>
  <c r="G22" i="36"/>
  <c r="K22" i="36" s="1"/>
  <c r="G19" i="36"/>
  <c r="G129" i="36"/>
  <c r="G72" i="36"/>
  <c r="G75" i="36"/>
  <c r="G86" i="36" s="1"/>
  <c r="K86" i="36" s="1"/>
  <c r="G97" i="36"/>
  <c r="K97" i="36" s="1"/>
  <c r="C91" i="36"/>
  <c r="C72" i="36"/>
  <c r="J119" i="35"/>
  <c r="M117" i="35"/>
  <c r="M113" i="35"/>
  <c r="H105" i="35"/>
  <c r="H101" i="35"/>
  <c r="I119" i="35"/>
  <c r="H120" i="35"/>
  <c r="M90" i="35"/>
  <c r="I56" i="35"/>
  <c r="I79" i="35" s="1"/>
  <c r="K79" i="35"/>
  <c r="M66" i="35"/>
  <c r="J56" i="35"/>
  <c r="J79" i="35" s="1"/>
  <c r="M51" i="35"/>
  <c r="F56" i="35"/>
  <c r="F79" i="35" s="1"/>
  <c r="L25" i="33" s="1"/>
  <c r="M62" i="35"/>
  <c r="M63" i="35"/>
  <c r="M64" i="35"/>
  <c r="C114" i="35"/>
  <c r="M114" i="35" s="1"/>
  <c r="C72" i="35"/>
  <c r="C65" i="35"/>
  <c r="E56" i="35"/>
  <c r="E79" i="35" s="1"/>
  <c r="K25" i="33" s="1"/>
  <c r="D88" i="35"/>
  <c r="M35" i="35"/>
  <c r="M32" i="35"/>
  <c r="M29" i="35"/>
  <c r="M23" i="35"/>
  <c r="M36" i="35"/>
  <c r="M30" i="35"/>
  <c r="H22" i="35"/>
  <c r="I17" i="35"/>
  <c r="I39" i="35" s="1"/>
  <c r="H33" i="35"/>
  <c r="K39" i="35"/>
  <c r="C33" i="35"/>
  <c r="D39" i="35"/>
  <c r="E25" i="33" s="1"/>
  <c r="E17" i="35"/>
  <c r="E39" i="35" s="1"/>
  <c r="F25" i="33" s="1"/>
  <c r="C22" i="35"/>
  <c r="N24" i="34"/>
  <c r="I30" i="34"/>
  <c r="I27" i="34"/>
  <c r="L24" i="34"/>
  <c r="K24" i="34"/>
  <c r="U24" i="34" s="1"/>
  <c r="J24" i="34"/>
  <c r="T24" i="34" s="1"/>
  <c r="I23" i="34"/>
  <c r="I39" i="36" s="1"/>
  <c r="I140" i="36" s="1"/>
  <c r="I22" i="34"/>
  <c r="I21" i="34"/>
  <c r="I17" i="34"/>
  <c r="I18" i="36" s="1"/>
  <c r="I16" i="34"/>
  <c r="I7" i="34" s="1"/>
  <c r="I10" i="36" s="1"/>
  <c r="K8" i="34"/>
  <c r="K7" i="34"/>
  <c r="K18" i="34" s="1"/>
  <c r="J7" i="34"/>
  <c r="I69" i="36" s="1"/>
  <c r="I91" i="36" s="1"/>
  <c r="I101" i="36" s="1"/>
  <c r="F7" i="34"/>
  <c r="E7" i="34"/>
  <c r="F8" i="34"/>
  <c r="E103" i="36"/>
  <c r="G24" i="34"/>
  <c r="E78" i="36"/>
  <c r="D30" i="34"/>
  <c r="S30" i="34" s="1"/>
  <c r="E21" i="36"/>
  <c r="D23" i="34"/>
  <c r="D22" i="34"/>
  <c r="S22" i="34" s="1"/>
  <c r="D21" i="34"/>
  <c r="S21" i="34" s="1"/>
  <c r="D17" i="34"/>
  <c r="D16" i="34"/>
  <c r="S16" i="34" s="1"/>
  <c r="D22" i="33"/>
  <c r="D21" i="33"/>
  <c r="Q24" i="33"/>
  <c r="P24" i="33"/>
  <c r="Q17" i="33"/>
  <c r="Q21" i="33" s="1"/>
  <c r="P17" i="33"/>
  <c r="P21" i="33" s="1"/>
  <c r="O17" i="33"/>
  <c r="O21" i="33" s="1"/>
  <c r="Q29" i="33"/>
  <c r="P29" i="33"/>
  <c r="O29" i="33"/>
  <c r="Q27" i="33"/>
  <c r="P27" i="33"/>
  <c r="O27" i="33"/>
  <c r="Q23" i="33"/>
  <c r="O23" i="33"/>
  <c r="Q22" i="33"/>
  <c r="P22" i="33"/>
  <c r="O22" i="33"/>
  <c r="Q16" i="33"/>
  <c r="P16" i="33"/>
  <c r="O16" i="33"/>
  <c r="Q12" i="33"/>
  <c r="Q8" i="33" s="1"/>
  <c r="P11" i="33"/>
  <c r="P8" i="33" s="1"/>
  <c r="E69" i="36" l="1"/>
  <c r="E91" i="36" s="1"/>
  <c r="E101" i="36" s="1"/>
  <c r="T7" i="34"/>
  <c r="E39" i="36"/>
  <c r="S23" i="34"/>
  <c r="V24" i="34"/>
  <c r="U8" i="34"/>
  <c r="F18" i="34"/>
  <c r="U18" i="34" s="1"/>
  <c r="U7" i="34"/>
  <c r="I21" i="36"/>
  <c r="S27" i="34"/>
  <c r="E18" i="36"/>
  <c r="S17" i="34"/>
  <c r="I7" i="36"/>
  <c r="C17" i="35"/>
  <c r="C39" i="35" s="1"/>
  <c r="C88" i="35"/>
  <c r="M88" i="35" s="1"/>
  <c r="C101" i="35"/>
  <c r="M101" i="35" s="1"/>
  <c r="I19" i="36"/>
  <c r="M26" i="35"/>
  <c r="M48" i="35"/>
  <c r="N7" i="34"/>
  <c r="M10" i="36" s="1"/>
  <c r="N18" i="34"/>
  <c r="I18" i="34"/>
  <c r="D7" i="34"/>
  <c r="S7" i="34" s="1"/>
  <c r="D18" i="34"/>
  <c r="S18" i="34" s="1"/>
  <c r="K89" i="36"/>
  <c r="M9" i="35"/>
  <c r="G25" i="34"/>
  <c r="K41" i="35"/>
  <c r="I81" i="35"/>
  <c r="J25" i="34"/>
  <c r="K25" i="34"/>
  <c r="J81" i="35"/>
  <c r="K81" i="35"/>
  <c r="L25" i="34"/>
  <c r="K112" i="36"/>
  <c r="J41" i="35"/>
  <c r="F25" i="34"/>
  <c r="U25" i="34" s="1"/>
  <c r="E25" i="34"/>
  <c r="T25" i="34" s="1"/>
  <c r="I41" i="35"/>
  <c r="O25" i="34"/>
  <c r="I121" i="35"/>
  <c r="Q25" i="34"/>
  <c r="K121" i="35"/>
  <c r="D96" i="35"/>
  <c r="D119" i="35" s="1"/>
  <c r="Q7" i="33"/>
  <c r="Q18" i="33" s="1"/>
  <c r="P7" i="33"/>
  <c r="P18" i="33" s="1"/>
  <c r="N23" i="33"/>
  <c r="N16" i="33"/>
  <c r="O7" i="33"/>
  <c r="O18" i="33" s="1"/>
  <c r="M109" i="36"/>
  <c r="P25" i="34"/>
  <c r="N25" i="34" s="1"/>
  <c r="J121" i="35"/>
  <c r="M127" i="36"/>
  <c r="E94" i="36"/>
  <c r="E97" i="36" s="1"/>
  <c r="E99" i="36" s="1"/>
  <c r="E109" i="36" s="1"/>
  <c r="G12" i="34"/>
  <c r="Q7" i="34"/>
  <c r="Q8" i="34"/>
  <c r="I94" i="36"/>
  <c r="I97" i="36" s="1"/>
  <c r="I99" i="36" s="1"/>
  <c r="I109" i="36" s="1"/>
  <c r="L12" i="34"/>
  <c r="Q25" i="33"/>
  <c r="I25" i="33"/>
  <c r="O25" i="33"/>
  <c r="P25" i="33"/>
  <c r="D25" i="33"/>
  <c r="E96" i="35"/>
  <c r="E119" i="35" s="1"/>
  <c r="N27" i="33"/>
  <c r="N29" i="33"/>
  <c r="N22" i="33"/>
  <c r="N17" i="33"/>
  <c r="K26" i="36"/>
  <c r="G27" i="36"/>
  <c r="K27" i="36" s="1"/>
  <c r="E22" i="36"/>
  <c r="I78" i="36"/>
  <c r="I22" i="36"/>
  <c r="I103" i="36"/>
  <c r="E72" i="36"/>
  <c r="I72" i="36"/>
  <c r="N21" i="33"/>
  <c r="K75" i="36"/>
  <c r="K123" i="36"/>
  <c r="K19" i="36"/>
  <c r="C129" i="36"/>
  <c r="K72" i="36"/>
  <c r="C101" i="36"/>
  <c r="C127" i="36"/>
  <c r="K127" i="36" s="1"/>
  <c r="K118" i="36"/>
  <c r="K140" i="36"/>
  <c r="G91" i="36"/>
  <c r="G101" i="36" s="1"/>
  <c r="G99" i="36" s="1"/>
  <c r="G109" i="36" s="1"/>
  <c r="H119" i="35"/>
  <c r="H121" i="35" s="1"/>
  <c r="F119" i="35"/>
  <c r="C105" i="35"/>
  <c r="M105" i="35" s="1"/>
  <c r="M65" i="35"/>
  <c r="H56" i="35"/>
  <c r="H79" i="35" s="1"/>
  <c r="H81" i="35" s="1"/>
  <c r="M72" i="35"/>
  <c r="C56" i="35"/>
  <c r="C112" i="35"/>
  <c r="M33" i="35"/>
  <c r="M22" i="35"/>
  <c r="H17" i="35"/>
  <c r="H39" i="35" s="1"/>
  <c r="H41" i="35" s="1"/>
  <c r="I24" i="34"/>
  <c r="D24" i="34"/>
  <c r="S24" i="34" l="1"/>
  <c r="V12" i="34"/>
  <c r="V25" i="34"/>
  <c r="I74" i="36"/>
  <c r="I25" i="36"/>
  <c r="E10" i="36"/>
  <c r="M19" i="36"/>
  <c r="C96" i="35"/>
  <c r="C119" i="35" s="1"/>
  <c r="M119" i="35" s="1"/>
  <c r="M7" i="36"/>
  <c r="M120" i="36"/>
  <c r="M123" i="36" s="1"/>
  <c r="M132" i="36" s="1"/>
  <c r="Q18" i="34"/>
  <c r="E118" i="36"/>
  <c r="E127" i="36" s="1"/>
  <c r="N18" i="33"/>
  <c r="N7" i="33"/>
  <c r="G8" i="34"/>
  <c r="G7" i="34"/>
  <c r="I25" i="34"/>
  <c r="I118" i="36"/>
  <c r="I127" i="36" s="1"/>
  <c r="L8" i="34"/>
  <c r="L7" i="34"/>
  <c r="D25" i="34"/>
  <c r="N25" i="33"/>
  <c r="K91" i="36"/>
  <c r="C99" i="36"/>
  <c r="K101" i="36"/>
  <c r="K129" i="36"/>
  <c r="C132" i="36"/>
  <c r="K132" i="36" s="1"/>
  <c r="C125" i="36"/>
  <c r="M56" i="35"/>
  <c r="C79" i="35"/>
  <c r="M79" i="35" s="1"/>
  <c r="M112" i="35"/>
  <c r="M39" i="35"/>
  <c r="M17" i="35"/>
  <c r="S25" i="34" l="1"/>
  <c r="V7" i="34"/>
  <c r="V8" i="34"/>
  <c r="E19" i="36"/>
  <c r="I84" i="36"/>
  <c r="I75" i="36"/>
  <c r="I86" i="36" s="1"/>
  <c r="M74" i="36"/>
  <c r="M25" i="36"/>
  <c r="E74" i="36"/>
  <c r="E25" i="36"/>
  <c r="E7" i="36"/>
  <c r="I120" i="36"/>
  <c r="I123" i="36" s="1"/>
  <c r="I129" i="36" s="1"/>
  <c r="I132" i="36" s="1"/>
  <c r="L18" i="34"/>
  <c r="E120" i="36"/>
  <c r="E123" i="36" s="1"/>
  <c r="E129" i="36" s="1"/>
  <c r="E132" i="36" s="1"/>
  <c r="G18" i="34"/>
  <c r="V18" i="34" s="1"/>
  <c r="M125" i="36"/>
  <c r="M135" i="36" s="1"/>
  <c r="C109" i="36"/>
  <c r="K109" i="36" s="1"/>
  <c r="K99" i="36"/>
  <c r="C135" i="36"/>
  <c r="K135" i="36" s="1"/>
  <c r="K125" i="36"/>
  <c r="C5" i="38"/>
  <c r="E43" i="37"/>
  <c r="E38" i="37"/>
  <c r="E37" i="37"/>
  <c r="E26" i="37"/>
  <c r="A3" i="38"/>
  <c r="B115" i="36"/>
  <c r="B127" i="36" s="1"/>
  <c r="B87" i="36"/>
  <c r="B86" i="35"/>
  <c r="C86" i="35" s="1"/>
  <c r="D86" i="35" s="1"/>
  <c r="E86" i="35" s="1"/>
  <c r="F86" i="35" s="1"/>
  <c r="G86" i="35" s="1"/>
  <c r="H86" i="35" s="1"/>
  <c r="I86" i="35" s="1"/>
  <c r="J86" i="35" s="1"/>
  <c r="K86" i="35" s="1"/>
  <c r="L86" i="35" s="1"/>
  <c r="M86" i="35" s="1"/>
  <c r="N86" i="35" s="1"/>
  <c r="O86" i="35" s="1"/>
  <c r="P86" i="35" s="1"/>
  <c r="Q86" i="35" s="1"/>
  <c r="R86" i="35" s="1"/>
  <c r="S86" i="35" s="1"/>
  <c r="T86" i="35" s="1"/>
  <c r="U86" i="35" s="1"/>
  <c r="V86" i="35" s="1"/>
  <c r="W86" i="35" s="1"/>
  <c r="B46" i="35"/>
  <c r="C46" i="35" s="1"/>
  <c r="D46" i="35" s="1"/>
  <c r="E46" i="35" s="1"/>
  <c r="F46" i="35" s="1"/>
  <c r="G46" i="35" s="1"/>
  <c r="H46" i="35" s="1"/>
  <c r="I46" i="35" s="1"/>
  <c r="J46" i="35" s="1"/>
  <c r="K46" i="35" s="1"/>
  <c r="L46" i="35" s="1"/>
  <c r="M46" i="35" s="1"/>
  <c r="N46" i="35" s="1"/>
  <c r="O46" i="35" s="1"/>
  <c r="P46" i="35" s="1"/>
  <c r="Q46" i="35" s="1"/>
  <c r="R46" i="35" s="1"/>
  <c r="S46" i="35" s="1"/>
  <c r="T46" i="35" s="1"/>
  <c r="U46" i="35" s="1"/>
  <c r="V46" i="35" s="1"/>
  <c r="W46" i="35" s="1"/>
  <c r="B7" i="35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N6" i="34"/>
  <c r="O6" i="34" s="1"/>
  <c r="P6" i="34" s="1"/>
  <c r="Q6" i="34" s="1"/>
  <c r="R6" i="34" s="1"/>
  <c r="I6" i="34"/>
  <c r="J6" i="34" s="1"/>
  <c r="K6" i="34" s="1"/>
  <c r="L6" i="34" s="1"/>
  <c r="M6" i="34" s="1"/>
  <c r="D6" i="34"/>
  <c r="E6" i="34" s="1"/>
  <c r="F6" i="34" s="1"/>
  <c r="G6" i="34" s="1"/>
  <c r="H6" i="34" s="1"/>
  <c r="N4" i="34"/>
  <c r="I4" i="34"/>
  <c r="A47" i="35" s="1"/>
  <c r="D4" i="34"/>
  <c r="A8" i="35" s="1"/>
  <c r="C5" i="36" s="1"/>
  <c r="A3" i="36"/>
  <c r="N6" i="33"/>
  <c r="O6" i="33" s="1"/>
  <c r="P6" i="33" s="1"/>
  <c r="Q6" i="33" s="1"/>
  <c r="R6" i="33" s="1"/>
  <c r="I6" i="33"/>
  <c r="J6" i="33" s="1"/>
  <c r="K6" i="33" s="1"/>
  <c r="L6" i="33" s="1"/>
  <c r="M6" i="33" s="1"/>
  <c r="D6" i="33"/>
  <c r="E6" i="33" s="1"/>
  <c r="F6" i="33" s="1"/>
  <c r="G6" i="33" s="1"/>
  <c r="H6" i="33" s="1"/>
  <c r="E84" i="36" l="1"/>
  <c r="E75" i="36"/>
  <c r="E86" i="36" s="1"/>
  <c r="M84" i="36"/>
  <c r="M75" i="36"/>
  <c r="M86" i="36" s="1"/>
  <c r="I125" i="36"/>
  <c r="I135" i="36" s="1"/>
  <c r="E125" i="36"/>
  <c r="E135" i="36" s="1"/>
  <c r="G5" i="36"/>
  <c r="K5" i="36"/>
  <c r="A87" i="35"/>
</calcChain>
</file>

<file path=xl/sharedStrings.xml><?xml version="1.0" encoding="utf-8"?>
<sst xmlns="http://schemas.openxmlformats.org/spreadsheetml/2006/main" count="763" uniqueCount="325">
  <si>
    <t>Всего</t>
  </si>
  <si>
    <t>%</t>
  </si>
  <si>
    <t>1.1.</t>
  </si>
  <si>
    <t>1.2.</t>
  </si>
  <si>
    <t>1.3.</t>
  </si>
  <si>
    <t>1.4.</t>
  </si>
  <si>
    <t>ВН</t>
  </si>
  <si>
    <t>СН1</t>
  </si>
  <si>
    <t>СН2</t>
  </si>
  <si>
    <t>НН</t>
  </si>
  <si>
    <t>4.1.</t>
  </si>
  <si>
    <t>4.2.</t>
  </si>
  <si>
    <t>Наименование показателя</t>
  </si>
  <si>
    <t>от других поставщиков</t>
  </si>
  <si>
    <t>Группа потребителей</t>
  </si>
  <si>
    <t>1.</t>
  </si>
  <si>
    <t>Население</t>
  </si>
  <si>
    <t>Население с 0,7</t>
  </si>
  <si>
    <t>Население без 0,7</t>
  </si>
  <si>
    <t>2.</t>
  </si>
  <si>
    <t>Прочие потребители</t>
  </si>
  <si>
    <t>3.</t>
  </si>
  <si>
    <t>4.</t>
  </si>
  <si>
    <t>Итого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</si>
  <si>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</si>
  <si>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ЛЭП</t>
  </si>
  <si>
    <t xml:space="preserve">Напряжение, кВ </t>
  </si>
  <si>
    <t>Количество цепей на опоре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</si>
  <si>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</si>
  <si>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</si>
  <si>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</si>
  <si>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</si>
  <si>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</si>
  <si>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</si>
  <si>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</si>
  <si>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</si>
  <si>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330</t>
  </si>
  <si>
    <t>1</t>
  </si>
  <si>
    <t>2</t>
  </si>
  <si>
    <t>110-150</t>
  </si>
  <si>
    <t>КЛЭП</t>
  </si>
  <si>
    <t>-</t>
  </si>
  <si>
    <t xml:space="preserve">ВН, всего </t>
  </si>
  <si>
    <t>1-20</t>
  </si>
  <si>
    <t>СН-1, всего</t>
  </si>
  <si>
    <t>СН-2, всего</t>
  </si>
  <si>
    <t xml:space="preserve">до 1 кВ </t>
  </si>
  <si>
    <t>НН, всего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</si>
  <si>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</si>
  <si>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</si>
  <si>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</si>
  <si>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п/ст</t>
  </si>
  <si>
    <t>Единица оборудования</t>
  </si>
  <si>
    <t>3 фазы</t>
  </si>
  <si>
    <t xml:space="preserve"> - " -</t>
  </si>
  <si>
    <t>100 конд.</t>
  </si>
  <si>
    <t>ТП</t>
  </si>
  <si>
    <t>ТП, КТП</t>
  </si>
  <si>
    <t>14</t>
  </si>
  <si>
    <t>1.1</t>
  </si>
  <si>
    <t>1.2</t>
  </si>
  <si>
    <t>4.3.</t>
  </si>
  <si>
    <t>Баланс электрической энергии по сетям ВН, СН1, СН2, и НН</t>
  </si>
  <si>
    <t>№ п.п.</t>
  </si>
  <si>
    <t>Показатели</t>
  </si>
  <si>
    <t>Ед. измер</t>
  </si>
  <si>
    <t xml:space="preserve">Поступление эл.энергии в сеть , ВСЕГО </t>
  </si>
  <si>
    <t>тыс.кВтч</t>
  </si>
  <si>
    <t>из смежной сети, всего</t>
  </si>
  <si>
    <t xml:space="preserve">    в том числе из сети</t>
  </si>
  <si>
    <t>МСК</t>
  </si>
  <si>
    <t>млн.кВтч</t>
  </si>
  <si>
    <t xml:space="preserve">от электростанций ПЭ (ЭСО) </t>
  </si>
  <si>
    <t xml:space="preserve">от других поставщиков </t>
  </si>
  <si>
    <t xml:space="preserve">поступление эл. энергии от других сетевых организаций </t>
  </si>
  <si>
    <t>Потери электроэнергии в сети всего</t>
  </si>
  <si>
    <t>то же в % (п.1.1/п.1.3)</t>
  </si>
  <si>
    <t>2.1</t>
  </si>
  <si>
    <t>в т.ч.от пропуска для собственных нужд, в т.ч.</t>
  </si>
  <si>
    <t>2.1.1</t>
  </si>
  <si>
    <t>покупка у сбытовой компании 1 (наименование сбытовой организации)</t>
  </si>
  <si>
    <t>2.2</t>
  </si>
  <si>
    <t>в т.ч от пропуска сторонним потребителям</t>
  </si>
  <si>
    <t>2.2.1</t>
  </si>
  <si>
    <t xml:space="preserve">Расход электроэнергии на произв и хоз.нужды </t>
  </si>
  <si>
    <t xml:space="preserve">Полезный отпуск из сети </t>
  </si>
  <si>
    <t>всего потребителям (согласно п.1.6)</t>
  </si>
  <si>
    <t>из них:</t>
  </si>
  <si>
    <t>потребителям, присоединенным к центру питания(подстанции)</t>
  </si>
  <si>
    <t>потребителям, присоединенным к центру питания(генераторное напряжение)</t>
  </si>
  <si>
    <t>сальдо переток в смежные сетевые организации</t>
  </si>
  <si>
    <t>сальдо переток в сопредельные регионы</t>
  </si>
  <si>
    <t xml:space="preserve">Поступление мощности в сеть , ВСЕГО </t>
  </si>
  <si>
    <t>МВТ</t>
  </si>
  <si>
    <t xml:space="preserve">от электростанций </t>
  </si>
  <si>
    <t xml:space="preserve">от других сетевых организаций </t>
  </si>
  <si>
    <t xml:space="preserve">Потери в сети </t>
  </si>
  <si>
    <t xml:space="preserve">то же в % </t>
  </si>
  <si>
    <r>
      <t>Мощность</t>
    </r>
    <r>
      <rPr>
        <sz val="11"/>
        <rFont val="Times New Roman"/>
        <family val="1"/>
        <charset val="204"/>
      </rPr>
      <t xml:space="preserve"> на производственные и хоз.нужды </t>
    </r>
  </si>
  <si>
    <t xml:space="preserve">Полезный отпуск мощности потребителям </t>
  </si>
  <si>
    <t>потребителям, присоединенным к центру питания</t>
  </si>
  <si>
    <t>потребителям присоединенным к сетям МСК (последняя миля)</t>
  </si>
  <si>
    <t>на генераторном напряжении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</si>
  <si>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</si>
  <si>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</si>
  <si>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</si>
  <si>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</si>
  <si>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</si>
  <si>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</si>
  <si>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</si>
  <si>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</si>
  <si>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</si>
  <si>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</si>
  <si>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1.1.1</t>
  </si>
  <si>
    <t xml:space="preserve">    городское с электроплитами</t>
  </si>
  <si>
    <t>1.1.2</t>
  </si>
  <si>
    <t xml:space="preserve">    сельское</t>
  </si>
  <si>
    <t>1.1.3</t>
  </si>
  <si>
    <t xml:space="preserve">    садоводческие</t>
  </si>
  <si>
    <t>1.2.1</t>
  </si>
  <si>
    <t>1.2.2</t>
  </si>
  <si>
    <t xml:space="preserve">    приравненные к населению</t>
  </si>
  <si>
    <t>Базовые потребители</t>
  </si>
  <si>
    <t>Потребитель 1</t>
  </si>
  <si>
    <t>Потребитель 2</t>
  </si>
  <si>
    <t>Потребитель i</t>
  </si>
  <si>
    <t>Одноставочные потребители</t>
  </si>
  <si>
    <t>2.3</t>
  </si>
  <si>
    <t>Двухставочные потребители</t>
  </si>
  <si>
    <t>3</t>
  </si>
  <si>
    <t>Отдача в смежные сетевые организации</t>
  </si>
  <si>
    <t>4</t>
  </si>
  <si>
    <t xml:space="preserve">Итого </t>
  </si>
  <si>
    <t xml:space="preserve">                                                          </t>
  </si>
  <si>
    <t>Таблица N П1.30</t>
  </si>
  <si>
    <t>№ П/П</t>
  </si>
  <si>
    <t>Отпуск ЭЭ, тыс. кВт.ч</t>
  </si>
  <si>
    <t>Присоединенная мощность,                                              МВА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</si>
  <si>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</si>
  <si>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</si>
  <si>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</si>
  <si>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</si>
  <si>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</si>
  <si>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</si>
  <si>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</si>
  <si>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>1.2.3</t>
  </si>
  <si>
    <t xml:space="preserve">...       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</si>
  <si>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</si>
  <si>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</si>
  <si>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</si>
  <si>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</si>
  <si>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</si>
  <si>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</si>
  <si>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</si>
  <si>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</si>
  <si>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</si>
  <si>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</si>
  <si>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3.2.1 - п. 1.2.1) </t>
  </si>
  <si>
    <t>3.2.2</t>
  </si>
  <si>
    <t>3.2.2.1</t>
  </si>
  <si>
    <t xml:space="preserve">также в сальдированном выражении (п. 3.2.2 - п. 1.2.2) </t>
  </si>
  <si>
    <t>3.2.3</t>
  </si>
  <si>
    <t>Поступление электроэнергии в ЕНЭС</t>
  </si>
  <si>
    <t>4.1</t>
  </si>
  <si>
    <t>4.2</t>
  </si>
  <si>
    <t>4.2.1</t>
  </si>
  <si>
    <t>4.2.2</t>
  </si>
  <si>
    <t>……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</si>
  <si>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</si>
  <si>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</si>
  <si>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</si>
  <si>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</si>
  <si>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</si>
  <si>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</si>
  <si>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</si>
  <si>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</si>
  <si>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</si>
  <si>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</si>
  <si>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</si>
  <si>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</si>
  <si>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</si>
  <si>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</si>
  <si>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</si>
  <si>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</si>
  <si>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</si>
  <si>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</si>
  <si>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</si>
  <si>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</si>
  <si>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</si>
  <si>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</si>
  <si>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</si>
  <si>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</si>
  <si>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не сетевых организаций (генерация)</t>
  </si>
  <si>
    <t>12.2</t>
  </si>
  <si>
    <t>12.2.1</t>
  </si>
  <si>
    <t>12.2.2</t>
  </si>
  <si>
    <t>12.2.3</t>
  </si>
  <si>
    <t>13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</si>
  <si>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</si>
  <si>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</si>
  <si>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</si>
  <si>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</si>
  <si>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</si>
  <si>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14.2.2</t>
  </si>
  <si>
    <t>14.2.2.1</t>
  </si>
  <si>
    <t xml:space="preserve">также в сальдированном выражении (п. 14.2.2 - п. 12.2.2) </t>
  </si>
  <si>
    <t>14.2.3</t>
  </si>
  <si>
    <t>14.2.3.1</t>
  </si>
  <si>
    <t xml:space="preserve">также в сальдированном выражении (п. 14.2.3 - п. 12.2.3)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</si>
  <si>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</si>
  <si>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</si>
  <si>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</si>
  <si>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</si>
  <si>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</si>
  <si>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</si>
  <si>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</si>
  <si>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</si>
  <si>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</si>
  <si>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</si>
  <si>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19.2.2</t>
  </si>
  <si>
    <t>19.2.3</t>
  </si>
  <si>
    <t>20</t>
  </si>
  <si>
    <t>21</t>
  </si>
  <si>
    <t>21.2</t>
  </si>
  <si>
    <t>21.3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</si>
  <si>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</si>
  <si>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</si>
  <si>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</si>
  <si>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</si>
  <si>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</si>
  <si>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</si>
  <si>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</si>
  <si>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</si>
  <si>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</si>
  <si>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25.2.2</t>
  </si>
  <si>
    <t>25.2.3</t>
  </si>
  <si>
    <t>26</t>
  </si>
  <si>
    <t>27</t>
  </si>
  <si>
    <t>27.1</t>
  </si>
  <si>
    <t>27.2</t>
  </si>
  <si>
    <t>27.2.1</t>
  </si>
  <si>
    <t>27.2.1.1</t>
  </si>
  <si>
    <t>27.2.2</t>
  </si>
  <si>
    <t>27.2.2.1</t>
  </si>
  <si>
    <t>27.2.3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</si>
  <si>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</si>
  <si>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</si>
  <si>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</si>
  <si>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</si>
  <si>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</si>
  <si>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</si>
  <si>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</si>
  <si>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</si>
  <si>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30.2.2</t>
  </si>
  <si>
    <t>31</t>
  </si>
  <si>
    <t>32</t>
  </si>
  <si>
    <t>32.1</t>
  </si>
  <si>
    <t>32.2</t>
  </si>
  <si>
    <t>32.2.1</t>
  </si>
  <si>
    <t>32.2.1.1</t>
  </si>
  <si>
    <t xml:space="preserve">также в сальдированном выражении (п. 27.2.1 - п. 25.2.1) </t>
  </si>
  <si>
    <t>32.2.2</t>
  </si>
  <si>
    <t>32.2.2.1</t>
  </si>
  <si>
    <t xml:space="preserve">также в сальдированном выражении (п. 27.2.2 - п. 25.2.2) </t>
  </si>
  <si>
    <t>Таблица № 2.1</t>
  </si>
  <si>
    <t>Материал опор</t>
  </si>
  <si>
    <t>металл</t>
  </si>
  <si>
    <t>ж/бетон</t>
  </si>
  <si>
    <t>дерево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</si>
  <si>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</si>
  <si>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</si>
  <si>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</si>
  <si>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</si>
  <si>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</si>
  <si>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 xml:space="preserve">0,4 кВ </t>
  </si>
  <si>
    <t>Таблица № 2.2</t>
  </si>
  <si>
    <t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</t>
  </si>
  <si>
    <t>Баланс электрической мощности по уровням напряжения</t>
  </si>
  <si>
    <t>ОАО "КузбассЭлектро"</t>
  </si>
  <si>
    <t>покупка у сбытовой компании ОАО "Кузбассэнергосбыт"</t>
  </si>
  <si>
    <t>Потребители ОАО "Кузбассэнергосбыт"</t>
  </si>
  <si>
    <t>ООО "ЭСКК" (АО "Черниговец")</t>
  </si>
  <si>
    <t>ООО "Энергоресурс"(ОАО "Шахта Алексиевская")</t>
  </si>
  <si>
    <t>ООО "Металлэнергофинанс" (ОАО "Шахта Алардинская")</t>
  </si>
  <si>
    <t>ООО "Лукойл-Энергосервис"( ООО "Разрез Пермяковский")</t>
  </si>
  <si>
    <t>ООО "ГлавЭнергоСбыт"( ООО "СУЭК-Кузбасс")</t>
  </si>
  <si>
    <t>ООО "Ресурс"</t>
  </si>
  <si>
    <t>ПАО "МРСК Сибири"_"Кузбассэнерго-РЭС"</t>
  </si>
  <si>
    <t>ООО "СКЭК"</t>
  </si>
  <si>
    <t>1.2.4</t>
  </si>
  <si>
    <t>1.2.5</t>
  </si>
  <si>
    <t>ОАО "РЖД"</t>
  </si>
  <si>
    <t>3.2.3.1</t>
  </si>
  <si>
    <t>3.2.4</t>
  </si>
  <si>
    <t>3.2.5</t>
  </si>
  <si>
    <t>3.2.6</t>
  </si>
  <si>
    <t>3.2.7</t>
  </si>
  <si>
    <t>3.2.4.1</t>
  </si>
  <si>
    <t>3.2.5.1</t>
  </si>
  <si>
    <t xml:space="preserve">также в сальдированном выражении (п. 3.2.3 - п. 1.2.3) </t>
  </si>
  <si>
    <t xml:space="preserve">также в сальдированном выражении (п. 3.2.4 - п. 1.2.4) </t>
  </si>
  <si>
    <t>3.2.8</t>
  </si>
  <si>
    <t>3.2.9</t>
  </si>
  <si>
    <t>14.2.4</t>
  </si>
  <si>
    <t>14.2.5</t>
  </si>
  <si>
    <t>14.2.6</t>
  </si>
  <si>
    <t>27.2.4</t>
  </si>
  <si>
    <t>Таблица П 1.5</t>
  </si>
  <si>
    <t>Таблица П1.4</t>
  </si>
  <si>
    <t>ООО "Кемэнерго"</t>
  </si>
  <si>
    <t>3.2.10</t>
  </si>
  <si>
    <t>3.2.11</t>
  </si>
  <si>
    <t>ООО "КЭнК"</t>
  </si>
  <si>
    <t>ПАО "ФСК ЕЭС"</t>
  </si>
  <si>
    <t>ПАО "МРСК Сибири"-"Кузбассэнерго-РЭС"</t>
  </si>
  <si>
    <t>АО "Электросеть"</t>
  </si>
  <si>
    <t>АО "СибПСК"</t>
  </si>
  <si>
    <t>1 полугодие 2018г.</t>
  </si>
  <si>
    <t>2 полугодие 2018г.</t>
  </si>
  <si>
    <t>2018 год</t>
  </si>
  <si>
    <t>АО "УК "Кузбассразрезуголь"</t>
  </si>
  <si>
    <t>ПАО "Кузбассэнергосбыт"</t>
  </si>
  <si>
    <t>Отпуск (передача) электроэнергии территориальной сетевой организацией за 2018 год</t>
  </si>
  <si>
    <t>Заявленная мощность, МВт</t>
  </si>
  <si>
    <t>Расчетная мощность,                                             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</si>
</sst>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0.000"/>
    <numFmt numFmtId="166" formatCode="#,##0.00000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Arial Cyr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" fontId="6" fillId="2" borderId="0" applyFont="0" applyBorder="0">
      <alignment horizontal="right"/>
    </xf>
    <xf numFmtId="0" fontId="12" fillId="0" borderId="30" applyBorder="0">
      <alignment horizontal="center" vertical="center" wrapText="1"/>
    </xf>
    <xf numFmtId="4" fontId="14" fillId="3" borderId="1" applyBorder="0">
      <alignment horizontal="right"/>
    </xf>
    <xf numFmtId="4" fontId="6" fillId="2" borderId="0" applyFont="0" applyBorder="0">
      <alignment horizontal="right"/>
    </xf>
    <xf numFmtId="4" fontId="14" fillId="4" borderId="5" applyBorder="0">
      <alignment horizontal="right"/>
    </xf>
  </cellStyleXfs>
  <cellXfs count="401">
    <xf numFmtId="0" fontId="0" fillId="0" borderId="0" xfId="0"/>
    <xf numFmtId="0" fontId="1" fillId="0" borderId="0" xfId="4" applyFont="1"/>
    <xf numFmtId="0" fontId="7" fillId="0" borderId="0" xfId="4" applyFont="1" applyFill="1" applyAlignment="1" applyProtection="1">
      <alignment horizontal="center"/>
    </xf>
    <xf numFmtId="2" fontId="7" fillId="0" borderId="0" xfId="4" applyNumberFormat="1" applyFont="1" applyProtection="1"/>
    <xf numFmtId="0" fontId="7" fillId="0" borderId="0" xfId="4" applyFont="1" applyFill="1" applyProtection="1"/>
    <xf numFmtId="0" fontId="7" fillId="0" borderId="0" xfId="4" applyFont="1" applyFill="1" applyAlignment="1" applyProtection="1">
      <alignment horizontal="center"/>
      <protection locked="0"/>
    </xf>
    <xf numFmtId="0" fontId="7" fillId="0" borderId="0" xfId="4" applyFont="1" applyFill="1" applyProtection="1">
      <protection locked="0"/>
    </xf>
    <xf numFmtId="2" fontId="7" fillId="0" borderId="0" xfId="4" applyNumberFormat="1" applyFont="1" applyProtection="1">
      <protection locked="0"/>
    </xf>
    <xf numFmtId="2" fontId="7" fillId="0" borderId="8" xfId="4" applyNumberFormat="1" applyFont="1" applyBorder="1" applyAlignment="1" applyProtection="1">
      <alignment horizontal="center"/>
    </xf>
    <xf numFmtId="2" fontId="7" fillId="0" borderId="1" xfId="4" applyNumberFormat="1" applyFont="1" applyBorder="1" applyAlignment="1" applyProtection="1">
      <alignment horizontal="center"/>
    </xf>
    <xf numFmtId="2" fontId="7" fillId="0" borderId="9" xfId="4" applyNumberFormat="1" applyFont="1" applyBorder="1" applyAlignment="1" applyProtection="1">
      <alignment horizontal="center"/>
    </xf>
    <xf numFmtId="0" fontId="7" fillId="0" borderId="13" xfId="4" applyFont="1" applyFill="1" applyBorder="1" applyAlignment="1" applyProtection="1">
      <alignment horizontal="center"/>
    </xf>
    <xf numFmtId="0" fontId="7" fillId="0" borderId="15" xfId="4" applyFont="1" applyFill="1" applyBorder="1" applyAlignment="1" applyProtection="1">
      <alignment horizontal="center"/>
    </xf>
    <xf numFmtId="1" fontId="7" fillId="0" borderId="10" xfId="4" applyNumberFormat="1" applyFont="1" applyBorder="1" applyAlignment="1" applyProtection="1">
      <alignment horizontal="center"/>
    </xf>
    <xf numFmtId="1" fontId="7" fillId="0" borderId="11" xfId="4" applyNumberFormat="1" applyFont="1" applyBorder="1" applyAlignment="1" applyProtection="1">
      <alignment horizontal="center"/>
    </xf>
    <xf numFmtId="1" fontId="7" fillId="0" borderId="12" xfId="4" applyNumberFormat="1" applyFont="1" applyBorder="1" applyAlignment="1" applyProtection="1">
      <alignment horizontal="center"/>
    </xf>
    <xf numFmtId="164" fontId="7" fillId="0" borderId="8" xfId="4" applyNumberFormat="1" applyFont="1" applyBorder="1" applyProtection="1">
      <protection locked="0"/>
    </xf>
    <xf numFmtId="164" fontId="7" fillId="0" borderId="1" xfId="4" applyNumberFormat="1" applyFont="1" applyBorder="1" applyProtection="1">
      <protection locked="0"/>
    </xf>
    <xf numFmtId="165" fontId="7" fillId="0" borderId="9" xfId="4" applyNumberFormat="1" applyFont="1" applyBorder="1" applyProtection="1">
      <protection locked="0"/>
    </xf>
    <xf numFmtId="164" fontId="7" fillId="3" borderId="1" xfId="4" applyNumberFormat="1" applyFont="1" applyFill="1" applyBorder="1" applyProtection="1">
      <protection locked="0"/>
    </xf>
    <xf numFmtId="165" fontId="7" fillId="3" borderId="9" xfId="4" applyNumberFormat="1" applyFont="1" applyFill="1" applyBorder="1" applyProtection="1">
      <protection locked="0"/>
    </xf>
    <xf numFmtId="164" fontId="7" fillId="2" borderId="8" xfId="4" applyNumberFormat="1" applyFont="1" applyFill="1" applyBorder="1" applyProtection="1">
      <protection locked="0"/>
    </xf>
    <xf numFmtId="0" fontId="1" fillId="0" borderId="0" xfId="4" applyFont="1" applyProtection="1"/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 applyProtection="1"/>
    <xf numFmtId="0" fontId="4" fillId="0" borderId="8" xfId="4" applyFont="1" applyBorder="1" applyAlignment="1" applyProtection="1">
      <alignment horizontal="center"/>
    </xf>
    <xf numFmtId="0" fontId="4" fillId="0" borderId="1" xfId="4" applyFont="1" applyBorder="1" applyAlignment="1" applyProtection="1">
      <alignment horizontal="center"/>
    </xf>
    <xf numFmtId="0" fontId="4" fillId="0" borderId="9" xfId="4" applyFont="1" applyBorder="1" applyAlignment="1" applyProtection="1">
      <alignment horizontal="center"/>
    </xf>
    <xf numFmtId="0" fontId="4" fillId="0" borderId="0" xfId="4" applyFont="1" applyAlignment="1" applyProtection="1">
      <alignment horizontal="center"/>
    </xf>
    <xf numFmtId="0" fontId="4" fillId="0" borderId="36" xfId="4" applyFont="1" applyBorder="1" applyAlignment="1" applyProtection="1">
      <alignment horizontal="center"/>
    </xf>
    <xf numFmtId="0" fontId="4" fillId="0" borderId="37" xfId="4" applyFont="1" applyBorder="1" applyAlignment="1" applyProtection="1">
      <alignment horizontal="center"/>
    </xf>
    <xf numFmtId="0" fontId="4" fillId="0" borderId="13" xfId="4" applyFont="1" applyBorder="1" applyAlignment="1" applyProtection="1">
      <alignment horizontal="center"/>
    </xf>
    <xf numFmtId="0" fontId="4" fillId="0" borderId="14" xfId="4" applyFont="1" applyBorder="1" applyAlignment="1" applyProtection="1">
      <alignment horizontal="center"/>
    </xf>
    <xf numFmtId="0" fontId="4" fillId="0" borderId="15" xfId="4" applyFont="1" applyBorder="1" applyAlignment="1" applyProtection="1">
      <alignment horizontal="center"/>
    </xf>
    <xf numFmtId="0" fontId="4" fillId="0" borderId="0" xfId="4" applyFont="1" applyFill="1" applyProtection="1"/>
    <xf numFmtId="165" fontId="4" fillId="0" borderId="8" xfId="4" applyNumberFormat="1" applyFont="1" applyBorder="1" applyProtection="1">
      <protection locked="0"/>
    </xf>
    <xf numFmtId="165" fontId="4" fillId="0" borderId="1" xfId="4" applyNumberFormat="1" applyFont="1" applyBorder="1" applyProtection="1">
      <protection locked="0"/>
    </xf>
    <xf numFmtId="165" fontId="4" fillId="0" borderId="9" xfId="4" applyNumberFormat="1" applyFont="1" applyBorder="1" applyProtection="1">
      <protection locked="0"/>
    </xf>
    <xf numFmtId="165" fontId="4" fillId="3" borderId="1" xfId="4" applyNumberFormat="1" applyFont="1" applyFill="1" applyBorder="1" applyProtection="1">
      <protection locked="0"/>
    </xf>
    <xf numFmtId="165" fontId="4" fillId="3" borderId="9" xfId="4" applyNumberFormat="1" applyFont="1" applyFill="1" applyBorder="1" applyProtection="1">
      <protection locked="0"/>
    </xf>
    <xf numFmtId="165" fontId="4" fillId="2" borderId="8" xfId="4" applyNumberFormat="1" applyFont="1" applyFill="1" applyBorder="1" applyProtection="1">
      <protection locked="0"/>
    </xf>
    <xf numFmtId="0" fontId="1" fillId="0" borderId="0" xfId="4" applyFont="1" applyFill="1" applyAlignment="1" applyProtection="1">
      <alignment horizontal="left" vertical="justify"/>
    </xf>
    <xf numFmtId="0" fontId="4" fillId="0" borderId="0" xfId="4" applyFont="1" applyAlignment="1" applyProtection="1">
      <alignment horizontal="center" vertical="center" wrapText="1"/>
      <protection locked="0"/>
    </xf>
    <xf numFmtId="166" fontId="4" fillId="0" borderId="0" xfId="4" applyNumberFormat="1" applyFont="1" applyProtection="1">
      <protection locked="0"/>
    </xf>
    <xf numFmtId="164" fontId="4" fillId="0" borderId="0" xfId="4" applyNumberFormat="1" applyFont="1" applyAlignment="1" applyProtection="1">
      <alignment horizontal="center"/>
      <protection locked="0"/>
    </xf>
    <xf numFmtId="3" fontId="4" fillId="0" borderId="0" xfId="4" applyNumberFormat="1" applyFont="1" applyAlignment="1" applyProtection="1">
      <alignment horizontal="center"/>
      <protection locked="0"/>
    </xf>
    <xf numFmtId="0" fontId="4" fillId="0" borderId="0" xfId="4" applyFont="1" applyFill="1" applyProtection="1">
      <protection locked="0"/>
    </xf>
    <xf numFmtId="0" fontId="4" fillId="0" borderId="0" xfId="4" applyFont="1" applyFill="1" applyAlignment="1" applyProtection="1">
      <alignment horizontal="right"/>
      <protection locked="0"/>
    </xf>
    <xf numFmtId="0" fontId="1" fillId="0" borderId="0" xfId="4" applyFont="1" applyProtection="1">
      <protection locked="0"/>
    </xf>
    <xf numFmtId="166" fontId="4" fillId="0" borderId="1" xfId="4" applyNumberFormat="1" applyFont="1" applyBorder="1" applyAlignment="1" applyProtection="1">
      <alignment horizontal="center"/>
    </xf>
    <xf numFmtId="3" fontId="4" fillId="0" borderId="1" xfId="4" applyNumberFormat="1" applyFont="1" applyBorder="1" applyAlignment="1" applyProtection="1">
      <alignment horizontal="center"/>
    </xf>
    <xf numFmtId="0" fontId="4" fillId="0" borderId="1" xfId="4" applyFont="1" applyFill="1" applyBorder="1" applyAlignment="1" applyProtection="1">
      <alignment horizontal="center"/>
    </xf>
    <xf numFmtId="1" fontId="4" fillId="0" borderId="1" xfId="4" applyNumberFormat="1" applyFont="1" applyBorder="1" applyAlignment="1" applyProtection="1">
      <alignment horizontal="center" vertical="center" wrapText="1"/>
    </xf>
    <xf numFmtId="1" fontId="4" fillId="0" borderId="1" xfId="4" applyNumberFormat="1" applyFont="1" applyBorder="1" applyAlignment="1" applyProtection="1">
      <alignment horizontal="center"/>
    </xf>
    <xf numFmtId="1" fontId="4" fillId="0" borderId="0" xfId="4" applyNumberFormat="1" applyFont="1" applyProtection="1"/>
    <xf numFmtId="164" fontId="4" fillId="3" borderId="1" xfId="4" applyNumberFormat="1" applyFont="1" applyFill="1" applyBorder="1" applyProtection="1">
      <protection locked="0"/>
    </xf>
    <xf numFmtId="3" fontId="4" fillId="3" borderId="1" xfId="4" applyNumberFormat="1" applyFont="1" applyFill="1" applyBorder="1" applyAlignment="1" applyProtection="1">
      <alignment horizontal="center"/>
      <protection locked="0"/>
    </xf>
    <xf numFmtId="0" fontId="4" fillId="3" borderId="1" xfId="4" applyFont="1" applyFill="1" applyBorder="1" applyProtection="1">
      <protection locked="0"/>
    </xf>
    <xf numFmtId="167" fontId="4" fillId="3" borderId="1" xfId="4" applyNumberFormat="1" applyFont="1" applyFill="1" applyBorder="1" applyProtection="1">
      <protection locked="0"/>
    </xf>
    <xf numFmtId="0" fontId="4" fillId="0" borderId="1" xfId="4" applyFont="1" applyFill="1" applyBorder="1" applyProtection="1">
      <protection locked="0"/>
    </xf>
    <xf numFmtId="164" fontId="4" fillId="2" borderId="1" xfId="4" applyNumberFormat="1" applyFont="1" applyFill="1" applyBorder="1" applyProtection="1">
      <protection locked="0"/>
    </xf>
    <xf numFmtId="1" fontId="4" fillId="2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Protection="1">
      <protection locked="0"/>
    </xf>
    <xf numFmtId="164" fontId="4" fillId="3" borderId="1" xfId="4" applyNumberFormat="1" applyFont="1" applyFill="1" applyBorder="1" applyAlignment="1" applyProtection="1">
      <alignment horizontal="right"/>
      <protection locked="0"/>
    </xf>
    <xf numFmtId="164" fontId="10" fillId="3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Alignment="1" applyProtection="1">
      <alignment horizontal="center"/>
      <protection locked="0"/>
    </xf>
    <xf numFmtId="49" fontId="4" fillId="0" borderId="0" xfId="4" applyNumberFormat="1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Protection="1"/>
    <xf numFmtId="166" fontId="4" fillId="0" borderId="0" xfId="4" applyNumberFormat="1" applyFont="1" applyFill="1" applyBorder="1" applyProtection="1"/>
    <xf numFmtId="164" fontId="4" fillId="0" borderId="0" xfId="4" applyNumberFormat="1" applyFont="1" applyFill="1" applyBorder="1" applyAlignment="1" applyProtection="1">
      <alignment horizontal="center"/>
    </xf>
    <xf numFmtId="1" fontId="4" fillId="0" borderId="0" xfId="4" applyNumberFormat="1" applyFont="1" applyFill="1" applyBorder="1" applyProtection="1"/>
    <xf numFmtId="3" fontId="4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Protection="1">
      <protection locked="0"/>
    </xf>
    <xf numFmtId="167" fontId="4" fillId="0" borderId="0" xfId="4" applyNumberFormat="1" applyFont="1" applyFill="1" applyBorder="1" applyProtection="1">
      <protection locked="0"/>
    </xf>
    <xf numFmtId="0" fontId="2" fillId="0" borderId="0" xfId="4" applyFont="1" applyAlignment="1">
      <alignment horizontal="center"/>
    </xf>
    <xf numFmtId="0" fontId="2" fillId="0" borderId="0" xfId="4" applyFont="1" applyAlignment="1">
      <alignment vertical="justify"/>
    </xf>
    <xf numFmtId="166" fontId="2" fillId="0" borderId="0" xfId="4" applyNumberFormat="1" applyFont="1"/>
    <xf numFmtId="0" fontId="2" fillId="0" borderId="0" xfId="4" applyFont="1"/>
    <xf numFmtId="0" fontId="2" fillId="0" borderId="0" xfId="4" applyFont="1" applyBorder="1"/>
    <xf numFmtId="0" fontId="2" fillId="0" borderId="0" xfId="4" applyFont="1" applyBorder="1" applyAlignment="1">
      <alignment vertical="justify"/>
    </xf>
    <xf numFmtId="166" fontId="2" fillId="0" borderId="0" xfId="4" applyNumberFormat="1" applyFont="1" applyBorder="1"/>
    <xf numFmtId="166" fontId="1" fillId="0" borderId="10" xfId="4" applyNumberFormat="1" applyFont="1" applyBorder="1" applyAlignment="1">
      <alignment horizontal="center" vertical="center" wrapText="1"/>
    </xf>
    <xf numFmtId="0" fontId="1" fillId="0" borderId="11" xfId="4" applyFont="1" applyBorder="1" applyAlignment="1">
      <alignment horizontal="center" vertical="center" wrapText="1"/>
    </xf>
    <xf numFmtId="0" fontId="1" fillId="0" borderId="12" xfId="4" applyFont="1" applyBorder="1" applyAlignment="1">
      <alignment horizontal="center" vertical="center" wrapText="1"/>
    </xf>
    <xf numFmtId="166" fontId="1" fillId="0" borderId="19" xfId="4" applyNumberFormat="1" applyFont="1" applyBorder="1" applyAlignment="1">
      <alignment horizontal="center" vertical="center" wrapText="1"/>
    </xf>
    <xf numFmtId="0" fontId="1" fillId="3" borderId="9" xfId="4" applyFont="1" applyFill="1" applyBorder="1" applyProtection="1">
      <protection locked="0"/>
    </xf>
    <xf numFmtId="0" fontId="1" fillId="3" borderId="0" xfId="4" applyFont="1" applyFill="1" applyProtection="1">
      <protection locked="0"/>
    </xf>
    <xf numFmtId="49" fontId="1" fillId="3" borderId="8" xfId="4" applyNumberFormat="1" applyFont="1" applyFill="1" applyBorder="1" applyAlignment="1" applyProtection="1">
      <alignment horizontal="center"/>
      <protection locked="0"/>
    </xf>
    <xf numFmtId="0" fontId="1" fillId="3" borderId="3" xfId="4" applyFont="1" applyFill="1" applyBorder="1" applyAlignment="1" applyProtection="1">
      <alignment horizontal="left" vertical="center" wrapText="1"/>
      <protection locked="0"/>
    </xf>
    <xf numFmtId="164" fontId="1" fillId="3" borderId="8" xfId="4" applyNumberFormat="1" applyFont="1" applyFill="1" applyBorder="1" applyProtection="1">
      <protection locked="0"/>
    </xf>
    <xf numFmtId="164" fontId="1" fillId="3" borderId="1" xfId="4" applyNumberFormat="1" applyFont="1" applyFill="1" applyBorder="1" applyProtection="1">
      <protection locked="0"/>
    </xf>
    <xf numFmtId="164" fontId="1" fillId="3" borderId="4" xfId="4" applyNumberFormat="1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49" fontId="1" fillId="0" borderId="8" xfId="4" applyNumberFormat="1" applyFont="1" applyFill="1" applyBorder="1" applyAlignment="1" applyProtection="1">
      <alignment horizontal="center"/>
      <protection locked="0"/>
    </xf>
    <xf numFmtId="0" fontId="1" fillId="0" borderId="3" xfId="4" applyFont="1" applyFill="1" applyBorder="1" applyAlignment="1" applyProtection="1">
      <alignment horizontal="left" vertical="center" wrapText="1"/>
      <protection locked="0"/>
    </xf>
    <xf numFmtId="164" fontId="1" fillId="0" borderId="8" xfId="4" applyNumberFormat="1" applyFont="1" applyFill="1" applyBorder="1" applyProtection="1">
      <protection locked="0"/>
    </xf>
    <xf numFmtId="164" fontId="1" fillId="0" borderId="1" xfId="4" applyNumberFormat="1" applyFont="1" applyFill="1" applyBorder="1" applyProtection="1">
      <protection locked="0"/>
    </xf>
    <xf numFmtId="0" fontId="1" fillId="0" borderId="39" xfId="4" applyFont="1" applyFill="1" applyBorder="1" applyProtection="1">
      <protection locked="0"/>
    </xf>
    <xf numFmtId="164" fontId="1" fillId="0" borderId="4" xfId="4" applyNumberFormat="1" applyFont="1" applyFill="1" applyBorder="1" applyProtection="1">
      <protection locked="0"/>
    </xf>
    <xf numFmtId="164" fontId="1" fillId="3" borderId="9" xfId="4" applyNumberFormat="1" applyFont="1" applyFill="1" applyBorder="1" applyProtection="1">
      <protection locked="0"/>
    </xf>
    <xf numFmtId="0" fontId="1" fillId="3" borderId="1" xfId="4" applyFont="1" applyFill="1" applyBorder="1" applyProtection="1">
      <protection locked="0"/>
    </xf>
    <xf numFmtId="0" fontId="1" fillId="0" borderId="0" xfId="4" applyFont="1" applyFill="1" applyProtection="1"/>
    <xf numFmtId="0" fontId="1" fillId="3" borderId="3" xfId="4" applyFont="1" applyFill="1" applyBorder="1" applyAlignment="1" applyProtection="1">
      <alignment vertical="justify"/>
      <protection locked="0"/>
    </xf>
    <xf numFmtId="166" fontId="1" fillId="3" borderId="1" xfId="4" applyNumberFormat="1" applyFont="1" applyFill="1" applyBorder="1" applyProtection="1">
      <protection locked="0"/>
    </xf>
    <xf numFmtId="166" fontId="1" fillId="3" borderId="9" xfId="4" applyNumberFormat="1" applyFont="1" applyFill="1" applyBorder="1" applyProtection="1">
      <protection locked="0"/>
    </xf>
    <xf numFmtId="49" fontId="1" fillId="0" borderId="8" xfId="4" applyNumberFormat="1" applyFont="1" applyBorder="1" applyAlignment="1" applyProtection="1">
      <alignment horizontal="center"/>
      <protection locked="0"/>
    </xf>
    <xf numFmtId="0" fontId="1" fillId="0" borderId="3" xfId="4" applyFont="1" applyBorder="1" applyAlignment="1" applyProtection="1">
      <alignment horizontal="left" vertical="center" wrapText="1"/>
      <protection locked="0"/>
    </xf>
    <xf numFmtId="164" fontId="1" fillId="0" borderId="8" xfId="4" applyNumberFormat="1" applyFont="1" applyBorder="1" applyProtection="1">
      <protection locked="0"/>
    </xf>
    <xf numFmtId="164" fontId="1" fillId="0" borderId="1" xfId="4" applyNumberFormat="1" applyFont="1" applyBorder="1" applyProtection="1">
      <protection locked="0"/>
    </xf>
    <xf numFmtId="164" fontId="1" fillId="0" borderId="4" xfId="4" applyNumberFormat="1" applyFont="1" applyBorder="1" applyProtection="1">
      <protection locked="0"/>
    </xf>
    <xf numFmtId="0" fontId="1" fillId="0" borderId="3" xfId="4" quotePrefix="1" applyFont="1" applyBorder="1" applyAlignment="1" applyProtection="1">
      <alignment horizontal="left" vertical="center" wrapText="1"/>
      <protection locked="0"/>
    </xf>
    <xf numFmtId="49" fontId="1" fillId="2" borderId="8" xfId="4" applyNumberFormat="1" applyFont="1" applyFill="1" applyBorder="1" applyAlignment="1" applyProtection="1">
      <alignment horizontal="center"/>
      <protection locked="0"/>
    </xf>
    <xf numFmtId="0" fontId="1" fillId="2" borderId="3" xfId="4" applyFont="1" applyFill="1" applyBorder="1" applyAlignment="1" applyProtection="1">
      <alignment horizontal="left" vertical="center" wrapText="1"/>
      <protection locked="0"/>
    </xf>
    <xf numFmtId="166" fontId="1" fillId="3" borderId="8" xfId="4" applyNumberFormat="1" applyFont="1" applyFill="1" applyBorder="1" applyProtection="1">
      <protection locked="0"/>
    </xf>
    <xf numFmtId="166" fontId="1" fillId="3" borderId="4" xfId="4" applyNumberFormat="1" applyFont="1" applyFill="1" applyBorder="1" applyProtection="1">
      <protection locked="0"/>
    </xf>
    <xf numFmtId="49" fontId="1" fillId="3" borderId="10" xfId="4" applyNumberFormat="1" applyFont="1" applyFill="1" applyBorder="1" applyAlignment="1" applyProtection="1">
      <alignment horizontal="center"/>
      <protection locked="0"/>
    </xf>
    <xf numFmtId="0" fontId="1" fillId="3" borderId="21" xfId="4" applyFont="1" applyFill="1" applyBorder="1" applyAlignment="1" applyProtection="1">
      <alignment horizontal="left" vertical="center" wrapText="1"/>
      <protection locked="0"/>
    </xf>
    <xf numFmtId="166" fontId="1" fillId="3" borderId="10" xfId="4" applyNumberFormat="1" applyFont="1" applyFill="1" applyBorder="1" applyProtection="1">
      <protection locked="0"/>
    </xf>
    <xf numFmtId="166" fontId="1" fillId="3" borderId="11" xfId="4" applyNumberFormat="1" applyFont="1" applyFill="1" applyBorder="1" applyProtection="1">
      <protection locked="0"/>
    </xf>
    <xf numFmtId="0" fontId="1" fillId="3" borderId="11" xfId="4" applyFont="1" applyFill="1" applyBorder="1" applyProtection="1">
      <protection locked="0"/>
    </xf>
    <xf numFmtId="0" fontId="1" fillId="3" borderId="12" xfId="4" applyFont="1" applyFill="1" applyBorder="1" applyProtection="1">
      <protection locked="0"/>
    </xf>
    <xf numFmtId="166" fontId="1" fillId="3" borderId="19" xfId="4" applyNumberFormat="1" applyFont="1" applyFill="1" applyBorder="1" applyProtection="1">
      <protection locked="0"/>
    </xf>
    <xf numFmtId="49" fontId="1" fillId="0" borderId="0" xfId="4" applyNumberFormat="1" applyFont="1" applyAlignment="1" applyProtection="1">
      <alignment horizontal="center"/>
      <protection locked="0"/>
    </xf>
    <xf numFmtId="0" fontId="1" fillId="0" borderId="0" xfId="4" applyFont="1" applyAlignment="1" applyProtection="1">
      <alignment vertical="justify"/>
      <protection locked="0"/>
    </xf>
    <xf numFmtId="166" fontId="1" fillId="0" borderId="0" xfId="4" applyNumberFormat="1" applyFont="1" applyProtection="1">
      <protection locked="0"/>
    </xf>
    <xf numFmtId="49" fontId="1" fillId="0" borderId="0" xfId="4" applyNumberFormat="1" applyFont="1" applyAlignment="1" applyProtection="1">
      <alignment horizontal="left"/>
      <protection locked="0"/>
    </xf>
    <xf numFmtId="49" fontId="1" fillId="0" borderId="0" xfId="4" applyNumberFormat="1" applyFont="1" applyAlignment="1">
      <alignment horizontal="center"/>
    </xf>
    <xf numFmtId="0" fontId="1" fillId="0" borderId="0" xfId="4" applyFont="1" applyAlignment="1">
      <alignment vertical="justify"/>
    </xf>
    <xf numFmtId="166" fontId="1" fillId="0" borderId="0" xfId="4" applyNumberFormat="1" applyFont="1"/>
    <xf numFmtId="0" fontId="4" fillId="0" borderId="0" xfId="4" applyFont="1"/>
    <xf numFmtId="0" fontId="3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3" fillId="0" borderId="23" xfId="4" applyFont="1" applyBorder="1" applyAlignment="1">
      <alignment horizontal="center" vertical="center" wrapText="1"/>
    </xf>
    <xf numFmtId="4" fontId="4" fillId="0" borderId="0" xfId="4" applyNumberFormat="1" applyFont="1"/>
    <xf numFmtId="4" fontId="12" fillId="0" borderId="8" xfId="6" applyNumberFormat="1" applyFont="1" applyBorder="1" applyProtection="1">
      <alignment horizontal="center" vertical="center" wrapText="1"/>
    </xf>
    <xf numFmtId="0" fontId="12" fillId="0" borderId="1" xfId="6" applyFont="1" applyBorder="1" applyProtection="1">
      <alignment horizontal="center" vertical="center" wrapText="1"/>
    </xf>
    <xf numFmtId="0" fontId="12" fillId="0" borderId="9" xfId="6" applyFont="1" applyBorder="1" applyProtection="1">
      <alignment horizontal="center" vertical="center" wrapText="1"/>
    </xf>
    <xf numFmtId="0" fontId="6" fillId="0" borderId="1" xfId="4" applyFill="1" applyBorder="1" applyAlignment="1" applyProtection="1">
      <alignment horizontal="center" vertical="center" wrapText="1"/>
    </xf>
    <xf numFmtId="0" fontId="6" fillId="0" borderId="4" xfId="4" applyFill="1" applyBorder="1" applyProtection="1"/>
    <xf numFmtId="4" fontId="14" fillId="2" borderId="8" xfId="7" applyNumberFormat="1" applyFill="1" applyBorder="1" applyProtection="1">
      <alignment horizontal="right"/>
    </xf>
    <xf numFmtId="4" fontId="14" fillId="3" borderId="1" xfId="7" applyNumberFormat="1" applyBorder="1" applyProtection="1">
      <alignment horizontal="right"/>
      <protection locked="0"/>
    </xf>
    <xf numFmtId="4" fontId="14" fillId="2" borderId="9" xfId="5" applyFont="1" applyBorder="1" applyAlignment="1" applyProtection="1">
      <alignment horizontal="right" vertical="center"/>
    </xf>
    <xf numFmtId="0" fontId="3" fillId="0" borderId="0" xfId="4" applyFont="1"/>
    <xf numFmtId="0" fontId="6" fillId="0" borderId="1" xfId="4" applyBorder="1" applyProtection="1"/>
    <xf numFmtId="0" fontId="4" fillId="0" borderId="0" xfId="4" applyFont="1" applyAlignment="1">
      <alignment vertical="center"/>
    </xf>
    <xf numFmtId="164" fontId="14" fillId="3" borderId="1" xfId="7" applyNumberFormat="1" applyBorder="1" applyProtection="1">
      <alignment horizontal="right"/>
      <protection locked="0"/>
    </xf>
    <xf numFmtId="0" fontId="6" fillId="0" borderId="1" xfId="4" applyBorder="1" applyAlignment="1" applyProtection="1">
      <alignment horizontal="left" vertical="top" wrapText="1"/>
    </xf>
    <xf numFmtId="0" fontId="6" fillId="0" borderId="1" xfId="4" applyBorder="1" applyAlignment="1" applyProtection="1">
      <alignment horizontal="center" vertical="center" wrapText="1"/>
    </xf>
    <xf numFmtId="0" fontId="12" fillId="0" borderId="8" xfId="4" applyFont="1" applyBorder="1" applyAlignment="1" applyProtection="1">
      <alignment vertical="top"/>
    </xf>
    <xf numFmtId="0" fontId="12" fillId="0" borderId="1" xfId="4" applyFont="1" applyBorder="1" applyAlignment="1" applyProtection="1">
      <alignment horizontal="left" vertical="top" wrapText="1"/>
    </xf>
    <xf numFmtId="0" fontId="12" fillId="0" borderId="1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vertical="top"/>
    </xf>
    <xf numFmtId="4" fontId="12" fillId="2" borderId="8" xfId="4" applyNumberFormat="1" applyFont="1" applyFill="1" applyBorder="1" applyProtection="1"/>
    <xf numFmtId="164" fontId="6" fillId="3" borderId="1" xfId="4" applyNumberFormat="1" applyFill="1" applyBorder="1" applyProtection="1">
      <protection locked="0"/>
    </xf>
    <xf numFmtId="4" fontId="12" fillId="2" borderId="9" xfId="5" applyFont="1" applyBorder="1" applyAlignment="1" applyProtection="1">
      <alignment horizontal="right" vertical="center"/>
    </xf>
    <xf numFmtId="0" fontId="6" fillId="0" borderId="8" xfId="4" applyBorder="1" applyProtection="1"/>
    <xf numFmtId="4" fontId="6" fillId="3" borderId="1" xfId="4" applyNumberFormat="1" applyFill="1" applyBorder="1" applyProtection="1">
      <protection locked="0"/>
    </xf>
    <xf numFmtId="4" fontId="12" fillId="0" borderId="1" xfId="5" applyFont="1" applyFill="1" applyBorder="1" applyAlignment="1" applyProtection="1">
      <alignment horizontal="center" vertical="center" wrapText="1"/>
    </xf>
    <xf numFmtId="0" fontId="6" fillId="0" borderId="1" xfId="4" applyNumberFormat="1" applyBorder="1" applyProtection="1"/>
    <xf numFmtId="4" fontId="12" fillId="2" borderId="8" xfId="5" applyNumberFormat="1" applyFont="1" applyBorder="1" applyAlignment="1" applyProtection="1">
      <alignment horizontal="right" vertical="center"/>
    </xf>
    <xf numFmtId="4" fontId="12" fillId="2" borderId="25" xfId="5" applyFont="1" applyBorder="1" applyAlignment="1" applyProtection="1">
      <alignment horizontal="right" vertical="center"/>
    </xf>
    <xf numFmtId="164" fontId="12" fillId="2" borderId="9" xfId="5" applyNumberFormat="1" applyFont="1" applyBorder="1" applyAlignment="1" applyProtection="1">
      <alignment horizontal="right" vertical="center"/>
    </xf>
    <xf numFmtId="4" fontId="12" fillId="0" borderId="1" xfId="7" applyNumberFormat="1" applyFont="1" applyFill="1" applyBorder="1" applyAlignment="1" applyProtection="1">
      <alignment horizontal="center" vertical="center" wrapText="1"/>
    </xf>
    <xf numFmtId="0" fontId="14" fillId="0" borderId="1" xfId="7" applyNumberFormat="1" applyFont="1" applyFill="1" applyBorder="1" applyProtection="1">
      <alignment horizontal="right"/>
      <protection locked="0"/>
    </xf>
    <xf numFmtId="4" fontId="14" fillId="2" borderId="8" xfId="7" applyNumberFormat="1" applyFill="1" applyBorder="1" applyAlignment="1" applyProtection="1">
      <alignment horizontal="right" vertical="center"/>
      <protection locked="0"/>
    </xf>
    <xf numFmtId="4" fontId="14" fillId="3" borderId="1" xfId="7" applyNumberFormat="1" applyFill="1" applyBorder="1" applyAlignment="1" applyProtection="1">
      <alignment horizontal="right" vertical="center"/>
      <protection locked="0"/>
    </xf>
    <xf numFmtId="0" fontId="14" fillId="0" borderId="1" xfId="7" applyNumberFormat="1" applyFill="1" applyBorder="1" applyProtection="1">
      <alignment horizontal="right"/>
      <protection locked="0"/>
    </xf>
    <xf numFmtId="4" fontId="12" fillId="0" borderId="11" xfId="7" applyNumberFormat="1" applyFont="1" applyFill="1" applyBorder="1" applyAlignment="1" applyProtection="1">
      <alignment horizontal="center" vertical="center" wrapText="1"/>
    </xf>
    <xf numFmtId="0" fontId="14" fillId="0" borderId="11" xfId="7" applyNumberFormat="1" applyFill="1" applyBorder="1" applyProtection="1">
      <alignment horizontal="right"/>
      <protection locked="0"/>
    </xf>
    <xf numFmtId="4" fontId="14" fillId="2" borderId="10" xfId="7" applyNumberFormat="1" applyFill="1" applyBorder="1" applyAlignment="1" applyProtection="1">
      <alignment horizontal="right" vertical="center"/>
      <protection locked="0"/>
    </xf>
    <xf numFmtId="4" fontId="14" fillId="3" borderId="11" xfId="7" applyNumberFormat="1" applyFill="1" applyBorder="1" applyAlignment="1" applyProtection="1">
      <alignment horizontal="right" vertical="center"/>
      <protection locked="0"/>
    </xf>
    <xf numFmtId="4" fontId="12" fillId="2" borderId="12" xfId="5" applyFont="1" applyBorder="1" applyAlignment="1" applyProtection="1">
      <alignment horizontal="right" vertical="center"/>
    </xf>
    <xf numFmtId="0" fontId="4" fillId="0" borderId="0" xfId="4" applyFont="1" applyFill="1"/>
    <xf numFmtId="166" fontId="4" fillId="0" borderId="0" xfId="4" applyNumberFormat="1" applyFont="1"/>
    <xf numFmtId="0" fontId="4" fillId="0" borderId="0" xfId="4" applyFont="1" applyAlignment="1">
      <alignment horizontal="center" vertical="center" wrapText="1"/>
    </xf>
    <xf numFmtId="0" fontId="15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wrapText="1"/>
    </xf>
    <xf numFmtId="0" fontId="4" fillId="0" borderId="0" xfId="4" applyFont="1" applyFill="1" applyBorder="1"/>
    <xf numFmtId="0" fontId="4" fillId="0" borderId="0" xfId="4" applyFont="1" applyFill="1" applyBorder="1" applyAlignment="1">
      <alignment horizontal="center" wrapText="1"/>
    </xf>
    <xf numFmtId="4" fontId="2" fillId="0" borderId="0" xfId="5" applyFont="1" applyFill="1" applyBorder="1" applyAlignment="1" applyProtection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12" fillId="0" borderId="8" xfId="6" applyBorder="1" applyProtection="1">
      <alignment horizontal="center" vertical="center" wrapText="1"/>
    </xf>
    <xf numFmtId="0" fontId="12" fillId="0" borderId="1" xfId="6" applyBorder="1" applyProtection="1">
      <alignment horizontal="center" vertical="center" wrapText="1"/>
    </xf>
    <xf numFmtId="0" fontId="12" fillId="0" borderId="9" xfId="6" applyBorder="1" applyProtection="1">
      <alignment horizontal="center" vertical="center" wrapText="1"/>
    </xf>
    <xf numFmtId="2" fontId="4" fillId="0" borderId="0" xfId="4" applyNumberFormat="1" applyFont="1" applyFill="1" applyBorder="1"/>
    <xf numFmtId="2" fontId="6" fillId="0" borderId="31" xfId="4" applyNumberFormat="1" applyFill="1" applyBorder="1" applyAlignment="1" applyProtection="1">
      <alignment horizontal="left" vertical="top"/>
    </xf>
    <xf numFmtId="4" fontId="14" fillId="3" borderId="25" xfId="7" applyNumberFormat="1" applyBorder="1" applyAlignment="1" applyProtection="1">
      <alignment horizontal="right" vertical="center"/>
      <protection locked="0"/>
    </xf>
    <xf numFmtId="4" fontId="14" fillId="2" borderId="27" xfId="8" applyFont="1" applyBorder="1" applyAlignment="1" applyProtection="1">
      <alignment horizontal="right" vertical="center"/>
    </xf>
    <xf numFmtId="2" fontId="3" fillId="0" borderId="0" xfId="4" applyNumberFormat="1" applyFont="1" applyFill="1" applyBorder="1"/>
    <xf numFmtId="1" fontId="6" fillId="0" borderId="9" xfId="4" applyNumberFormat="1" applyFill="1" applyBorder="1" applyAlignment="1" applyProtection="1">
      <alignment horizontal="left" vertical="top"/>
    </xf>
    <xf numFmtId="4" fontId="14" fillId="2" borderId="9" xfId="8" applyFont="1" applyBorder="1" applyAlignment="1" applyProtection="1">
      <alignment horizontal="right" vertical="center"/>
    </xf>
    <xf numFmtId="0" fontId="3" fillId="0" borderId="0" xfId="4" applyFont="1" applyFill="1" applyBorder="1"/>
    <xf numFmtId="0" fontId="6" fillId="0" borderId="9" xfId="4" applyFill="1" applyBorder="1" applyProtection="1"/>
    <xf numFmtId="4" fontId="4" fillId="0" borderId="0" xfId="4" applyNumberFormat="1" applyFont="1" applyFill="1" applyBorder="1"/>
    <xf numFmtId="0" fontId="6" fillId="0" borderId="3" xfId="4" applyFill="1" applyBorder="1" applyProtection="1"/>
    <xf numFmtId="0" fontId="6" fillId="0" borderId="3" xfId="4" applyBorder="1" applyProtection="1"/>
    <xf numFmtId="4" fontId="3" fillId="0" borderId="0" xfId="4" applyNumberFormat="1" applyFont="1" applyFill="1" applyBorder="1"/>
    <xf numFmtId="4" fontId="4" fillId="0" borderId="0" xfId="4" applyNumberFormat="1" applyFont="1" applyFill="1" applyBorder="1" applyAlignment="1">
      <alignment vertical="center"/>
    </xf>
    <xf numFmtId="4" fontId="3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wrapText="1"/>
    </xf>
    <xf numFmtId="17" fontId="6" fillId="0" borderId="3" xfId="4" quotePrefix="1" applyNumberFormat="1" applyBorder="1" applyProtection="1"/>
    <xf numFmtId="0" fontId="6" fillId="0" borderId="8" xfId="4" applyBorder="1" applyAlignment="1" applyProtection="1">
      <alignment vertical="top" wrapText="1"/>
    </xf>
    <xf numFmtId="4" fontId="12" fillId="0" borderId="3" xfId="8" applyFont="1" applyFill="1" applyBorder="1" applyAlignment="1" applyProtection="1">
      <alignment horizontal="left"/>
    </xf>
    <xf numFmtId="4" fontId="12" fillId="2" borderId="8" xfId="8" applyFont="1" applyBorder="1" applyAlignment="1" applyProtection="1">
      <alignment horizontal="right" vertical="center"/>
    </xf>
    <xf numFmtId="4" fontId="12" fillId="2" borderId="1" xfId="8" applyFont="1" applyBorder="1" applyAlignment="1" applyProtection="1">
      <alignment horizontal="right" vertical="center"/>
    </xf>
    <xf numFmtId="164" fontId="12" fillId="2" borderId="9" xfId="8" applyNumberFormat="1" applyFont="1" applyBorder="1" applyAlignment="1" applyProtection="1">
      <alignment horizontal="right" vertical="center"/>
    </xf>
    <xf numFmtId="0" fontId="12" fillId="0" borderId="3" xfId="4" applyFont="1" applyBorder="1" applyProtection="1"/>
    <xf numFmtId="4" fontId="6" fillId="3" borderId="1" xfId="4" applyNumberFormat="1" applyFill="1" applyBorder="1" applyAlignment="1" applyProtection="1">
      <alignment horizontal="right" vertical="center"/>
      <protection locked="0"/>
    </xf>
    <xf numFmtId="0" fontId="12" fillId="0" borderId="21" xfId="4" applyFont="1" applyBorder="1" applyProtection="1"/>
    <xf numFmtId="4" fontId="6" fillId="3" borderId="11" xfId="4" applyNumberFormat="1" applyFill="1" applyBorder="1" applyAlignment="1" applyProtection="1">
      <alignment horizontal="right" vertical="center"/>
      <protection locked="0"/>
    </xf>
    <xf numFmtId="4" fontId="12" fillId="2" borderId="12" xfId="9" applyFont="1" applyFill="1" applyBorder="1" applyAlignment="1" applyProtection="1">
      <alignment horizontal="right" vertical="center"/>
    </xf>
    <xf numFmtId="0" fontId="4" fillId="0" borderId="0" xfId="4" applyFont="1" applyFill="1" applyBorder="1" applyAlignment="1">
      <alignment horizontal="center" vertical="center" wrapText="1"/>
    </xf>
    <xf numFmtId="4" fontId="14" fillId="2" borderId="26" xfId="7" applyNumberFormat="1" applyFill="1" applyBorder="1" applyProtection="1">
      <alignment horizontal="right"/>
    </xf>
    <xf numFmtId="4" fontId="6" fillId="2" borderId="8" xfId="4" applyNumberFormat="1" applyFill="1" applyBorder="1" applyAlignment="1" applyProtection="1">
      <alignment horizontal="right" vertical="center"/>
    </xf>
    <xf numFmtId="4" fontId="6" fillId="2" borderId="10" xfId="4" applyNumberFormat="1" applyFill="1" applyBorder="1" applyAlignment="1" applyProtection="1">
      <alignment horizontal="right" vertical="center"/>
    </xf>
    <xf numFmtId="164" fontId="7" fillId="2" borderId="5" xfId="4" applyNumberFormat="1" applyFont="1" applyFill="1" applyBorder="1" applyProtection="1">
      <protection locked="0"/>
    </xf>
    <xf numFmtId="164" fontId="7" fillId="2" borderId="6" xfId="4" applyNumberFormat="1" applyFont="1" applyFill="1" applyBorder="1" applyProtection="1">
      <protection locked="0"/>
    </xf>
    <xf numFmtId="165" fontId="7" fillId="2" borderId="6" xfId="4" applyNumberFormat="1" applyFont="1" applyFill="1" applyBorder="1" applyProtection="1">
      <protection locked="0"/>
    </xf>
    <xf numFmtId="164" fontId="7" fillId="2" borderId="1" xfId="4" applyNumberFormat="1" applyFont="1" applyFill="1" applyBorder="1" applyProtection="1">
      <protection locked="0"/>
    </xf>
    <xf numFmtId="165" fontId="7" fillId="2" borderId="9" xfId="4" applyNumberFormat="1" applyFont="1" applyFill="1" applyBorder="1" applyProtection="1">
      <protection locked="0"/>
    </xf>
    <xf numFmtId="165" fontId="7" fillId="2" borderId="1" xfId="4" applyNumberFormat="1" applyFont="1" applyFill="1" applyBorder="1" applyProtection="1">
      <protection locked="0"/>
    </xf>
    <xf numFmtId="165" fontId="4" fillId="2" borderId="6" xfId="4" applyNumberFormat="1" applyFont="1" applyFill="1" applyBorder="1" applyProtection="1">
      <protection locked="0"/>
    </xf>
    <xf numFmtId="165" fontId="4" fillId="2" borderId="7" xfId="4" applyNumberFormat="1" applyFont="1" applyFill="1" applyBorder="1" applyProtection="1">
      <protection locked="0"/>
    </xf>
    <xf numFmtId="165" fontId="4" fillId="2" borderId="1" xfId="4" applyNumberFormat="1" applyFont="1" applyFill="1" applyBorder="1" applyProtection="1">
      <protection locked="0"/>
    </xf>
    <xf numFmtId="165" fontId="4" fillId="2" borderId="9" xfId="4" applyNumberFormat="1" applyFont="1" applyFill="1" applyBorder="1" applyProtection="1">
      <protection locked="0"/>
    </xf>
    <xf numFmtId="3" fontId="4" fillId="2" borderId="1" xfId="4" applyNumberFormat="1" applyFont="1" applyFill="1" applyBorder="1" applyAlignment="1" applyProtection="1">
      <alignment horizontal="center"/>
      <protection locked="0"/>
    </xf>
    <xf numFmtId="1" fontId="4" fillId="2" borderId="1" xfId="4" applyNumberFormat="1" applyFont="1" applyFill="1" applyBorder="1" applyAlignment="1" applyProtection="1">
      <alignment horizontal="center"/>
      <protection locked="0"/>
    </xf>
    <xf numFmtId="164" fontId="1" fillId="2" borderId="26" xfId="4" applyNumberFormat="1" applyFont="1" applyFill="1" applyBorder="1" applyProtection="1">
      <protection locked="0"/>
    </xf>
    <xf numFmtId="164" fontId="1" fillId="2" borderId="38" xfId="4" applyNumberFormat="1" applyFont="1" applyFill="1" applyBorder="1" applyProtection="1">
      <protection locked="0"/>
    </xf>
    <xf numFmtId="164" fontId="1" fillId="2" borderId="8" xfId="4" applyNumberFormat="1" applyFont="1" applyFill="1" applyBorder="1" applyProtection="1">
      <protection locked="0"/>
    </xf>
    <xf numFmtId="164" fontId="1" fillId="2" borderId="1" xfId="4" applyNumberFormat="1" applyFont="1" applyFill="1" applyBorder="1" applyProtection="1">
      <protection locked="0"/>
    </xf>
    <xf numFmtId="164" fontId="1" fillId="2" borderId="4" xfId="4" applyNumberFormat="1" applyFont="1" applyFill="1" applyBorder="1" applyProtection="1">
      <protection locked="0"/>
    </xf>
    <xf numFmtId="0" fontId="7" fillId="0" borderId="5" xfId="4" applyFont="1" applyFill="1" applyBorder="1" applyAlignment="1" applyProtection="1">
      <alignment horizontal="center"/>
      <protection locked="0"/>
    </xf>
    <xf numFmtId="0" fontId="7" fillId="0" borderId="7" xfId="4" applyFont="1" applyFill="1" applyBorder="1" applyAlignment="1" applyProtection="1">
      <alignment vertical="justify"/>
      <protection locked="0"/>
    </xf>
    <xf numFmtId="0" fontId="7" fillId="0" borderId="29" xfId="4" applyFont="1" applyFill="1" applyBorder="1" applyAlignment="1" applyProtection="1">
      <alignment horizontal="center"/>
      <protection locked="0"/>
    </xf>
    <xf numFmtId="0" fontId="7" fillId="0" borderId="8" xfId="4" applyFont="1" applyFill="1" applyBorder="1" applyAlignment="1" applyProtection="1">
      <alignment horizontal="center"/>
      <protection locked="0"/>
    </xf>
    <xf numFmtId="0" fontId="7" fillId="0" borderId="9" xfId="4" applyFont="1" applyFill="1" applyBorder="1" applyAlignment="1" applyProtection="1">
      <alignment vertical="justify"/>
      <protection locked="0"/>
    </xf>
    <xf numFmtId="0" fontId="7" fillId="0" borderId="3" xfId="4" applyFont="1" applyFill="1" applyBorder="1" applyAlignment="1" applyProtection="1">
      <alignment horizontal="center"/>
      <protection locked="0"/>
    </xf>
    <xf numFmtId="0" fontId="7" fillId="0" borderId="35" xfId="4" applyFont="1" applyFill="1" applyBorder="1" applyAlignment="1" applyProtection="1">
      <alignment horizontal="center"/>
      <protection locked="0"/>
    </xf>
    <xf numFmtId="164" fontId="7" fillId="0" borderId="1" xfId="4" applyNumberFormat="1" applyFont="1" applyFill="1" applyBorder="1" applyProtection="1">
      <protection locked="0"/>
    </xf>
    <xf numFmtId="49" fontId="7" fillId="0" borderId="8" xfId="4" applyNumberFormat="1" applyFont="1" applyFill="1" applyBorder="1" applyAlignment="1" applyProtection="1">
      <alignment horizontal="center"/>
      <protection locked="0"/>
    </xf>
    <xf numFmtId="0" fontId="7" fillId="0" borderId="9" xfId="4" applyFont="1" applyBorder="1" applyAlignment="1" applyProtection="1">
      <alignment vertical="justify"/>
      <protection locked="0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4" fillId="0" borderId="26" xfId="4" applyFont="1" applyFill="1" applyBorder="1" applyAlignment="1" applyProtection="1">
      <alignment horizontal="center"/>
      <protection locked="0"/>
    </xf>
    <xf numFmtId="0" fontId="4" fillId="0" borderId="27" xfId="4" applyFont="1" applyFill="1" applyBorder="1" applyAlignment="1" applyProtection="1">
      <alignment vertical="justify"/>
      <protection locked="0"/>
    </xf>
    <xf numFmtId="0" fontId="4" fillId="0" borderId="3" xfId="4" applyFont="1" applyFill="1" applyBorder="1" applyAlignment="1" applyProtection="1">
      <alignment horizontal="center"/>
      <protection locked="0"/>
    </xf>
    <xf numFmtId="0" fontId="4" fillId="0" borderId="8" xfId="4" applyFont="1" applyFill="1" applyBorder="1" applyAlignment="1" applyProtection="1">
      <alignment horizontal="center"/>
      <protection locked="0"/>
    </xf>
    <xf numFmtId="0" fontId="4" fillId="0" borderId="9" xfId="4" applyFont="1" applyFill="1" applyBorder="1" applyAlignment="1" applyProtection="1">
      <alignment vertical="justify"/>
      <protection locked="0"/>
    </xf>
    <xf numFmtId="0" fontId="4" fillId="0" borderId="8" xfId="4" applyFont="1" applyBorder="1" applyAlignment="1" applyProtection="1">
      <alignment horizontal="center"/>
      <protection locked="0"/>
    </xf>
    <xf numFmtId="0" fontId="4" fillId="0" borderId="9" xfId="4" applyFont="1" applyBorder="1" applyAlignment="1" applyProtection="1">
      <alignment vertical="justify"/>
      <protection locked="0"/>
    </xf>
    <xf numFmtId="0" fontId="4" fillId="0" borderId="3" xfId="4" applyFont="1" applyBorder="1" applyAlignment="1" applyProtection="1">
      <alignment horizontal="center"/>
      <protection locked="0"/>
    </xf>
    <xf numFmtId="165" fontId="4" fillId="0" borderId="1" xfId="4" applyNumberFormat="1" applyFont="1" applyFill="1" applyBorder="1" applyProtection="1">
      <protection locked="0"/>
    </xf>
    <xf numFmtId="0" fontId="1" fillId="0" borderId="9" xfId="4" applyFont="1" applyFill="1" applyBorder="1" applyAlignment="1" applyProtection="1">
      <alignment vertical="justify"/>
      <protection locked="0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Border="1" applyAlignment="1" applyProtection="1">
      <alignment horizontal="left" vertical="center" wrapText="1"/>
      <protection locked="0"/>
    </xf>
    <xf numFmtId="4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4" applyFont="1" applyBorder="1" applyAlignment="1" applyProtection="1">
      <alignment horizontal="left" vertical="center" wrapText="1"/>
      <protection locked="0"/>
    </xf>
    <xf numFmtId="0" fontId="3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8" fillId="0" borderId="1" xfId="4" applyFont="1" applyBorder="1" applyAlignment="1" applyProtection="1">
      <alignment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4" applyFont="1" applyFill="1" applyBorder="1" applyAlignment="1" applyProtection="1">
      <alignment vertical="justify"/>
      <protection locked="0"/>
    </xf>
    <xf numFmtId="49" fontId="1" fillId="2" borderId="26" xfId="4" applyNumberFormat="1" applyFont="1" applyFill="1" applyBorder="1" applyAlignment="1" applyProtection="1">
      <alignment horizontal="center"/>
      <protection locked="0"/>
    </xf>
    <xf numFmtId="0" fontId="1" fillId="2" borderId="29" xfId="4" applyFont="1" applyFill="1" applyBorder="1" applyAlignment="1" applyProtection="1">
      <alignment horizontal="left" vertical="center" wrapText="1"/>
      <protection locked="0"/>
    </xf>
    <xf numFmtId="0" fontId="1" fillId="2" borderId="3" xfId="4" quotePrefix="1" applyFont="1" applyFill="1" applyBorder="1" applyAlignment="1" applyProtection="1">
      <alignment horizontal="left" vertical="center" wrapText="1"/>
      <protection locked="0"/>
    </xf>
    <xf numFmtId="165" fontId="7" fillId="3" borderId="3" xfId="4" applyNumberFormat="1" applyFont="1" applyFill="1" applyBorder="1" applyProtection="1">
      <protection locked="0"/>
    </xf>
    <xf numFmtId="165" fontId="7" fillId="2" borderId="3" xfId="4" applyNumberFormat="1" applyFont="1" applyFill="1" applyBorder="1" applyProtection="1">
      <protection locked="0"/>
    </xf>
    <xf numFmtId="165" fontId="7" fillId="0" borderId="3" xfId="4" applyNumberFormat="1" applyFont="1" applyBorder="1" applyProtection="1">
      <protection locked="0"/>
    </xf>
    <xf numFmtId="164" fontId="7" fillId="2" borderId="35" xfId="4" applyNumberFormat="1" applyFont="1" applyFill="1" applyBorder="1" applyProtection="1">
      <protection locked="0"/>
    </xf>
    <xf numFmtId="164" fontId="7" fillId="0" borderId="35" xfId="4" applyNumberFormat="1" applyFont="1" applyBorder="1" applyProtection="1">
      <protection locked="0"/>
    </xf>
    <xf numFmtId="164" fontId="7" fillId="2" borderId="16" xfId="4" applyNumberFormat="1" applyFont="1" applyFill="1" applyBorder="1" applyProtection="1">
      <protection locked="0"/>
    </xf>
    <xf numFmtId="0" fontId="1" fillId="3" borderId="4" xfId="4" applyFont="1" applyFill="1" applyBorder="1" applyProtection="1">
      <protection locked="0"/>
    </xf>
    <xf numFmtId="164" fontId="1" fillId="2" borderId="6" xfId="4" applyNumberFormat="1" applyFont="1" applyFill="1" applyBorder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15" fillId="0" borderId="0" xfId="4" applyFont="1" applyFill="1" applyProtection="1">
      <protection locked="0"/>
    </xf>
    <xf numFmtId="0" fontId="15" fillId="0" borderId="0" xfId="4" applyFont="1" applyProtection="1">
      <protection locked="0"/>
    </xf>
    <xf numFmtId="166" fontId="16" fillId="0" borderId="0" xfId="4" applyNumberFormat="1" applyFont="1" applyFill="1" applyBorder="1" applyProtection="1"/>
    <xf numFmtId="166" fontId="16" fillId="0" borderId="0" xfId="4" applyNumberFormat="1" applyFont="1" applyProtection="1">
      <protection locked="0"/>
    </xf>
    <xf numFmtId="164" fontId="16" fillId="0" borderId="0" xfId="4" applyNumberFormat="1" applyFont="1" applyProtection="1">
      <protection locked="0"/>
    </xf>
    <xf numFmtId="164" fontId="16" fillId="5" borderId="0" xfId="4" applyNumberFormat="1" applyFont="1" applyFill="1" applyBorder="1" applyProtection="1"/>
    <xf numFmtId="164" fontId="16" fillId="5" borderId="0" xfId="4" applyNumberFormat="1" applyFont="1" applyFill="1" applyProtection="1">
      <protection locked="0"/>
    </xf>
    <xf numFmtId="164" fontId="16" fillId="0" borderId="0" xfId="4" applyNumberFormat="1" applyFont="1" applyFill="1" applyBorder="1" applyProtection="1"/>
    <xf numFmtId="164" fontId="16" fillId="0" borderId="0" xfId="4" applyNumberFormat="1" applyFont="1" applyFill="1" applyProtection="1">
      <protection locked="0"/>
    </xf>
    <xf numFmtId="2" fontId="4" fillId="2" borderId="1" xfId="4" applyNumberFormat="1" applyFont="1" applyFill="1" applyBorder="1" applyProtection="1">
      <protection locked="0"/>
    </xf>
    <xf numFmtId="2" fontId="7" fillId="2" borderId="8" xfId="4" applyNumberFormat="1" applyFont="1" applyFill="1" applyBorder="1" applyProtection="1">
      <protection locked="0"/>
    </xf>
    <xf numFmtId="2" fontId="7" fillId="2" borderId="1" xfId="4" applyNumberFormat="1" applyFont="1" applyFill="1" applyBorder="1" applyProtection="1">
      <protection locked="0"/>
    </xf>
    <xf numFmtId="2" fontId="7" fillId="2" borderId="9" xfId="4" applyNumberFormat="1" applyFont="1" applyFill="1" applyBorder="1" applyProtection="1">
      <protection locked="0"/>
    </xf>
    <xf numFmtId="164" fontId="10" fillId="2" borderId="1" xfId="4" applyNumberFormat="1" applyFont="1" applyFill="1" applyBorder="1" applyProtection="1">
      <protection locked="0"/>
    </xf>
    <xf numFmtId="164" fontId="4" fillId="0" borderId="0" xfId="4" applyNumberFormat="1" applyFont="1" applyProtection="1">
      <protection locked="0"/>
    </xf>
    <xf numFmtId="164" fontId="17" fillId="2" borderId="1" xfId="4" applyNumberFormat="1" applyFont="1" applyFill="1" applyBorder="1" applyProtection="1">
      <protection locked="0"/>
    </xf>
    <xf numFmtId="164" fontId="17" fillId="3" borderId="1" xfId="4" applyNumberFormat="1" applyFont="1" applyFill="1" applyBorder="1" applyProtection="1">
      <protection locked="0"/>
    </xf>
    <xf numFmtId="164" fontId="17" fillId="3" borderId="1" xfId="4" applyNumberFormat="1" applyFont="1" applyFill="1" applyBorder="1" applyAlignment="1" applyProtection="1">
      <alignment horizontal="right"/>
      <protection locked="0"/>
    </xf>
    <xf numFmtId="3" fontId="17" fillId="2" borderId="1" xfId="4" applyNumberFormat="1" applyFont="1" applyFill="1" applyBorder="1" applyAlignment="1" applyProtection="1">
      <alignment horizontal="center"/>
      <protection locked="0"/>
    </xf>
    <xf numFmtId="164" fontId="18" fillId="3" borderId="4" xfId="4" applyNumberFormat="1" applyFont="1" applyFill="1" applyBorder="1" applyProtection="1">
      <protection locked="0"/>
    </xf>
    <xf numFmtId="164" fontId="4" fillId="5" borderId="0" xfId="4" applyNumberFormat="1" applyFont="1" applyFill="1" applyBorder="1" applyProtection="1"/>
    <xf numFmtId="49" fontId="4" fillId="6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4" applyFont="1" applyBorder="1" applyAlignment="1" applyProtection="1">
      <alignment horizontal="left" vertical="center"/>
      <protection locked="0"/>
    </xf>
    <xf numFmtId="164" fontId="1" fillId="3" borderId="3" xfId="4" applyNumberFormat="1" applyFont="1" applyFill="1" applyBorder="1" applyProtection="1">
      <protection locked="0"/>
    </xf>
    <xf numFmtId="3" fontId="1" fillId="3" borderId="27" xfId="4" applyNumberFormat="1" applyFont="1" applyFill="1" applyBorder="1" applyProtection="1">
      <protection locked="0"/>
    </xf>
    <xf numFmtId="164" fontId="7" fillId="0" borderId="16" xfId="4" applyNumberFormat="1" applyFont="1" applyFill="1" applyBorder="1" applyAlignment="1" applyProtection="1">
      <alignment horizontal="center"/>
      <protection locked="0"/>
    </xf>
    <xf numFmtId="164" fontId="7" fillId="0" borderId="17" xfId="4" applyNumberFormat="1" applyFont="1" applyFill="1" applyBorder="1" applyAlignment="1" applyProtection="1">
      <alignment horizontal="center"/>
      <protection locked="0"/>
    </xf>
    <xf numFmtId="164" fontId="7" fillId="0" borderId="18" xfId="4" applyNumberFormat="1" applyFont="1" applyFill="1" applyBorder="1" applyAlignment="1" applyProtection="1">
      <alignment horizontal="center"/>
      <protection locked="0"/>
    </xf>
    <xf numFmtId="0" fontId="1" fillId="0" borderId="0" xfId="4" applyFont="1" applyFill="1" applyAlignment="1" applyProtection="1">
      <alignment horizontal="left"/>
    </xf>
    <xf numFmtId="0" fontId="6" fillId="0" borderId="0" xfId="4" applyAlignment="1"/>
    <xf numFmtId="0" fontId="7" fillId="0" borderId="30" xfId="4" applyFont="1" applyFill="1" applyBorder="1" applyAlignment="1" applyProtection="1">
      <alignment horizontal="center" wrapText="1"/>
    </xf>
    <xf numFmtId="0" fontId="7" fillId="0" borderId="26" xfId="4" applyFont="1" applyFill="1" applyBorder="1" applyAlignment="1" applyProtection="1">
      <alignment horizontal="center" wrapText="1"/>
    </xf>
    <xf numFmtId="0" fontId="7" fillId="0" borderId="31" xfId="4" applyFont="1" applyFill="1" applyBorder="1" applyAlignment="1" applyProtection="1">
      <alignment horizontal="center"/>
    </xf>
    <xf numFmtId="0" fontId="7" fillId="0" borderId="27" xfId="4" applyFont="1" applyFill="1" applyBorder="1" applyAlignment="1" applyProtection="1">
      <alignment horizontal="center"/>
    </xf>
    <xf numFmtId="0" fontId="7" fillId="0" borderId="32" xfId="4" applyFont="1" applyFill="1" applyBorder="1" applyAlignment="1" applyProtection="1">
      <alignment horizontal="center" vertical="justify"/>
    </xf>
    <xf numFmtId="0" fontId="7" fillId="0" borderId="33" xfId="4" applyFont="1" applyFill="1" applyBorder="1" applyAlignment="1" applyProtection="1">
      <alignment horizontal="center" vertical="justify"/>
    </xf>
    <xf numFmtId="0" fontId="7" fillId="0" borderId="34" xfId="4" applyFont="1" applyFill="1" applyBorder="1" applyAlignment="1" applyProtection="1">
      <alignment horizontal="center" vertical="justify"/>
    </xf>
    <xf numFmtId="0" fontId="2" fillId="0" borderId="0" xfId="4" applyFont="1" applyAlignment="1" applyProtection="1"/>
    <xf numFmtId="0" fontId="0" fillId="0" borderId="0" xfId="0" applyAlignment="1"/>
    <xf numFmtId="0" fontId="4" fillId="0" borderId="1" xfId="4" applyFont="1" applyBorder="1" applyProtection="1"/>
    <xf numFmtId="0" fontId="4" fillId="0" borderId="14" xfId="4" applyFont="1" applyBorder="1" applyAlignment="1" applyProtection="1">
      <alignment horizontal="center" vertical="center"/>
    </xf>
    <xf numFmtId="0" fontId="4" fillId="0" borderId="25" xfId="4" applyFont="1" applyBorder="1" applyAlignment="1" applyProtection="1">
      <alignment horizontal="center" vertical="center"/>
    </xf>
    <xf numFmtId="0" fontId="4" fillId="0" borderId="32" xfId="4" applyFont="1" applyFill="1" applyBorder="1" applyAlignment="1" applyProtection="1">
      <alignment horizontal="center" vertical="center" wrapText="1"/>
    </xf>
    <xf numFmtId="0" fontId="4" fillId="0" borderId="33" xfId="4" applyFont="1" applyFill="1" applyBorder="1" applyAlignment="1" applyProtection="1">
      <alignment horizontal="center" vertical="center" wrapText="1"/>
    </xf>
    <xf numFmtId="0" fontId="4" fillId="0" borderId="34" xfId="4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wrapText="1"/>
    </xf>
    <xf numFmtId="0" fontId="3" fillId="0" borderId="3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Fill="1" applyBorder="1" applyAlignment="1" applyProtection="1">
      <alignment horizontal="center" vertical="center" wrapText="1"/>
      <protection locked="0"/>
    </xf>
    <xf numFmtId="0" fontId="3" fillId="0" borderId="4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horizontal="center" vertical="center" wrapText="1"/>
    </xf>
    <xf numFmtId="164" fontId="4" fillId="0" borderId="1" xfId="4" applyNumberFormat="1" applyFont="1" applyBorder="1" applyAlignment="1" applyProtection="1">
      <alignment horizontal="center" vertical="center" wrapText="1"/>
    </xf>
    <xf numFmtId="166" fontId="4" fillId="0" borderId="1" xfId="4" applyNumberFormat="1" applyFont="1" applyBorder="1" applyAlignment="1" applyProtection="1">
      <alignment horizontal="center" vertical="center" wrapText="1"/>
    </xf>
    <xf numFmtId="164" fontId="8" fillId="0" borderId="1" xfId="4" applyNumberFormat="1" applyFont="1" applyBorder="1" applyAlignment="1" applyProtection="1">
      <alignment horizontal="center" vertical="center" wrapText="1"/>
    </xf>
    <xf numFmtId="0" fontId="4" fillId="0" borderId="3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 wrapText="1"/>
    </xf>
    <xf numFmtId="0" fontId="4" fillId="0" borderId="4" xfId="4" applyFont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/>
      <protection locked="0"/>
    </xf>
    <xf numFmtId="0" fontId="2" fillId="2" borderId="0" xfId="4" applyFont="1" applyFill="1" applyAlignment="1" applyProtection="1">
      <alignment horizontal="center"/>
    </xf>
    <xf numFmtId="166" fontId="2" fillId="0" borderId="22" xfId="4" applyNumberFormat="1" applyFont="1" applyBorder="1" applyAlignment="1">
      <alignment horizontal="center" vertical="center" wrapText="1"/>
    </xf>
    <xf numFmtId="166" fontId="2" fillId="0" borderId="6" xfId="4" applyNumberFormat="1" applyFont="1" applyBorder="1" applyAlignment="1">
      <alignment horizontal="center" vertical="center" wrapText="1"/>
    </xf>
    <xf numFmtId="166" fontId="2" fillId="0" borderId="7" xfId="4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0" xfId="4" applyAlignment="1">
      <alignment horizontal="center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0" fontId="1" fillId="0" borderId="21" xfId="4" applyFont="1" applyBorder="1" applyAlignment="1">
      <alignment horizontal="center" vertical="center" wrapText="1"/>
    </xf>
    <xf numFmtId="166" fontId="2" fillId="0" borderId="5" xfId="4" applyNumberFormat="1" applyFont="1" applyBorder="1" applyAlignment="1">
      <alignment horizontal="center" vertical="center" wrapText="1"/>
    </xf>
    <xf numFmtId="0" fontId="2" fillId="0" borderId="0" xfId="4" applyFont="1" applyAlignment="1">
      <alignment horizontal="right"/>
    </xf>
    <xf numFmtId="0" fontId="11" fillId="0" borderId="0" xfId="4" applyFont="1" applyAlignment="1">
      <alignment horizontal="right"/>
    </xf>
    <xf numFmtId="0" fontId="2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4" fontId="2" fillId="2" borderId="0" xfId="5" applyFont="1" applyBorder="1" applyAlignment="1" applyProtection="1">
      <alignment horizontal="center" vertical="center"/>
    </xf>
    <xf numFmtId="0" fontId="13" fillId="0" borderId="30" xfId="6" applyFont="1" applyBorder="1" applyAlignment="1" applyProtection="1">
      <alignment horizontal="center" vertical="center" wrapText="1"/>
    </xf>
    <xf numFmtId="0" fontId="13" fillId="0" borderId="41" xfId="6" applyFont="1" applyBorder="1" applyAlignment="1" applyProtection="1">
      <alignment horizontal="center" vertical="center" wrapText="1"/>
    </xf>
    <xf numFmtId="0" fontId="13" fillId="0" borderId="26" xfId="6" applyFont="1" applyBorder="1" applyAlignment="1" applyProtection="1">
      <alignment horizontal="center" vertical="center" wrapText="1"/>
    </xf>
    <xf numFmtId="0" fontId="12" fillId="0" borderId="40" xfId="6" applyBorder="1" applyAlignment="1" applyProtection="1">
      <alignment horizontal="center" vertical="center" wrapText="1"/>
    </xf>
    <xf numFmtId="0" fontId="12" fillId="0" borderId="24" xfId="6" applyBorder="1" applyAlignment="1" applyProtection="1">
      <alignment horizontal="center" vertical="center" wrapText="1"/>
    </xf>
    <xf numFmtId="0" fontId="12" fillId="0" borderId="25" xfId="6" applyBorder="1" applyAlignment="1" applyProtection="1">
      <alignment horizontal="center" vertical="center" wrapText="1"/>
    </xf>
    <xf numFmtId="0" fontId="12" fillId="0" borderId="31" xfId="6" applyBorder="1" applyAlignment="1" applyProtection="1">
      <alignment horizontal="center" vertical="center" wrapText="1"/>
    </xf>
    <xf numFmtId="0" fontId="12" fillId="0" borderId="42" xfId="6" applyBorder="1" applyAlignment="1" applyProtection="1">
      <alignment horizontal="center" vertical="center" wrapText="1"/>
    </xf>
    <xf numFmtId="0" fontId="12" fillId="0" borderId="27" xfId="6" applyBorder="1" applyAlignment="1" applyProtection="1">
      <alignment horizontal="center" vertical="center" wrapText="1"/>
    </xf>
    <xf numFmtId="164" fontId="12" fillId="3" borderId="16" xfId="7" applyNumberFormat="1" applyFont="1" applyBorder="1" applyAlignment="1" applyProtection="1">
      <alignment horizontal="center" vertical="center"/>
      <protection locked="0"/>
    </xf>
    <xf numFmtId="164" fontId="12" fillId="3" borderId="17" xfId="7" applyNumberFormat="1" applyFont="1" applyBorder="1" applyAlignment="1" applyProtection="1">
      <alignment horizontal="center" vertical="center"/>
      <protection locked="0"/>
    </xf>
    <xf numFmtId="164" fontId="12" fillId="3" borderId="18" xfId="7" applyNumberFormat="1" applyFont="1" applyBorder="1" applyAlignment="1" applyProtection="1">
      <alignment horizontal="center" vertical="center"/>
      <protection locked="0"/>
    </xf>
    <xf numFmtId="0" fontId="6" fillId="0" borderId="13" xfId="4" applyBorder="1" applyAlignment="1" applyProtection="1">
      <alignment horizontal="left" vertical="center"/>
    </xf>
    <xf numFmtId="0" fontId="6" fillId="0" borderId="26" xfId="4" applyBorder="1" applyAlignment="1" applyProtection="1">
      <alignment horizontal="left" vertical="center"/>
    </xf>
    <xf numFmtId="0" fontId="6" fillId="0" borderId="41" xfId="4" applyBorder="1" applyAlignment="1" applyProtection="1">
      <alignment horizontal="left" vertical="center"/>
    </xf>
    <xf numFmtId="0" fontId="6" fillId="0" borderId="14" xfId="4" applyBorder="1" applyAlignment="1" applyProtection="1">
      <alignment horizontal="left" vertical="top" wrapText="1"/>
    </xf>
    <xf numFmtId="0" fontId="6" fillId="0" borderId="24" xfId="4" applyBorder="1" applyAlignment="1" applyProtection="1">
      <alignment horizontal="left" vertical="top" wrapText="1"/>
    </xf>
    <xf numFmtId="0" fontId="6" fillId="0" borderId="25" xfId="4" applyBorder="1" applyAlignment="1" applyProtection="1">
      <alignment horizontal="left" vertical="top" wrapText="1"/>
    </xf>
    <xf numFmtId="0" fontId="6" fillId="0" borderId="14" xfId="4" applyBorder="1" applyAlignment="1" applyProtection="1">
      <alignment horizontal="center" vertical="center" wrapText="1"/>
    </xf>
    <xf numFmtId="0" fontId="6" fillId="0" borderId="24" xfId="4" applyBorder="1" applyAlignment="1" applyProtection="1">
      <alignment horizontal="center" vertical="center" wrapText="1"/>
    </xf>
    <xf numFmtId="0" fontId="6" fillId="0" borderId="25" xfId="4" applyBorder="1" applyAlignment="1" applyProtection="1">
      <alignment horizontal="center" vertical="center" wrapText="1"/>
    </xf>
    <xf numFmtId="0" fontId="12" fillId="0" borderId="43" xfId="4" applyNumberFormat="1" applyFont="1" applyBorder="1" applyAlignment="1" applyProtection="1">
      <alignment horizontal="center" vertical="center"/>
    </xf>
    <xf numFmtId="0" fontId="12" fillId="0" borderId="2" xfId="4" applyNumberFormat="1" applyFont="1" applyBorder="1" applyAlignment="1" applyProtection="1">
      <alignment horizontal="center" vertical="center"/>
    </xf>
    <xf numFmtId="0" fontId="12" fillId="0" borderId="44" xfId="4" applyNumberFormat="1" applyFont="1" applyBorder="1" applyAlignment="1" applyProtection="1">
      <alignment horizontal="center" vertical="center"/>
    </xf>
    <xf numFmtId="0" fontId="12" fillId="0" borderId="45" xfId="4" applyNumberFormat="1" applyFont="1" applyBorder="1" applyAlignment="1" applyProtection="1">
      <alignment horizontal="center" vertical="center"/>
    </xf>
    <xf numFmtId="0" fontId="12" fillId="0" borderId="46" xfId="4" applyNumberFormat="1" applyFont="1" applyBorder="1" applyAlignment="1" applyProtection="1">
      <alignment horizontal="center" vertical="center"/>
    </xf>
    <xf numFmtId="0" fontId="12" fillId="0" borderId="47" xfId="4" applyNumberFormat="1" applyFont="1" applyBorder="1" applyAlignment="1" applyProtection="1">
      <alignment horizontal="center" vertical="center"/>
    </xf>
    <xf numFmtId="0" fontId="6" fillId="0" borderId="13" xfId="4" applyBorder="1" applyProtection="1"/>
    <xf numFmtId="0" fontId="6" fillId="0" borderId="26" xfId="4" applyBorder="1" applyProtection="1"/>
    <xf numFmtId="0" fontId="6" fillId="0" borderId="13" xfId="4" applyBorder="1" applyAlignment="1" applyProtection="1">
      <alignment horizontal="center" vertical="center"/>
    </xf>
    <xf numFmtId="0" fontId="6" fillId="0" borderId="41" xfId="4" applyBorder="1" applyAlignment="1" applyProtection="1">
      <alignment horizontal="center" vertical="center"/>
    </xf>
    <xf numFmtId="0" fontId="6" fillId="0" borderId="26" xfId="4" applyBorder="1" applyAlignment="1" applyProtection="1">
      <alignment horizontal="center" vertical="center"/>
    </xf>
    <xf numFmtId="0" fontId="6" fillId="0" borderId="30" xfId="4" applyBorder="1" applyAlignment="1" applyProtection="1">
      <alignment horizontal="center" vertical="center"/>
    </xf>
    <xf numFmtId="0" fontId="6" fillId="0" borderId="14" xfId="4" applyFill="1" applyBorder="1" applyAlignment="1" applyProtection="1">
      <alignment horizontal="left" vertical="top" wrapText="1"/>
    </xf>
    <xf numFmtId="0" fontId="6" fillId="0" borderId="25" xfId="4" applyFill="1" applyBorder="1" applyAlignment="1" applyProtection="1">
      <alignment horizontal="left" vertical="top" wrapText="1"/>
    </xf>
    <xf numFmtId="0" fontId="6" fillId="0" borderId="24" xfId="4" applyFill="1" applyBorder="1" applyAlignment="1" applyProtection="1">
      <alignment horizontal="left" vertical="top" wrapText="1"/>
    </xf>
    <xf numFmtId="0" fontId="6" fillId="0" borderId="14" xfId="4" applyFill="1" applyBorder="1" applyAlignment="1" applyProtection="1">
      <alignment horizontal="center" vertical="center" wrapText="1"/>
    </xf>
    <xf numFmtId="0" fontId="6" fillId="0" borderId="25" xfId="4" applyFill="1" applyBorder="1" applyAlignment="1" applyProtection="1">
      <alignment horizontal="center" vertical="center" wrapText="1"/>
    </xf>
    <xf numFmtId="0" fontId="6" fillId="0" borderId="8" xfId="4" applyBorder="1" applyAlignment="1" applyProtection="1">
      <alignment horizontal="center" vertical="top" wrapText="1"/>
    </xf>
    <xf numFmtId="0" fontId="6" fillId="0" borderId="10" xfId="4" applyBorder="1" applyAlignment="1" applyProtection="1">
      <alignment horizontal="center" vertical="top" wrapText="1"/>
    </xf>
    <xf numFmtId="0" fontId="3" fillId="0" borderId="0" xfId="4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 wrapText="1"/>
    </xf>
    <xf numFmtId="0" fontId="12" fillId="0" borderId="5" xfId="6" applyBorder="1" applyAlignment="1" applyProtection="1">
      <alignment horizontal="center" vertical="center" wrapText="1"/>
    </xf>
    <xf numFmtId="0" fontId="12" fillId="0" borderId="8" xfId="6" applyBorder="1" applyAlignment="1" applyProtection="1">
      <alignment horizontal="center" vertical="center" wrapText="1"/>
    </xf>
    <xf numFmtId="0" fontId="12" fillId="0" borderId="20" xfId="6" applyBorder="1" applyAlignment="1" applyProtection="1">
      <alignment horizontal="center" vertical="center" wrapText="1"/>
    </xf>
    <xf numFmtId="0" fontId="12" fillId="0" borderId="3" xfId="6" applyBorder="1" applyAlignment="1" applyProtection="1">
      <alignment horizontal="center" vertical="center" wrapText="1"/>
    </xf>
    <xf numFmtId="0" fontId="6" fillId="0" borderId="8" xfId="4" applyBorder="1" applyAlignment="1" applyProtection="1">
      <alignment vertical="top" wrapText="1"/>
    </xf>
  </cellXfs>
  <cellStyles count="10">
    <cellStyle name="ЗаголовокСтолбца" xfId="6"/>
    <cellStyle name="Значение" xfId="7"/>
    <cellStyle name="Обычный" xfId="0" builtinId="0"/>
    <cellStyle name="Обычный 2" xfId="2"/>
    <cellStyle name="Обычный 3" xfId="4"/>
    <cellStyle name="Процентный 2" xfId="1"/>
    <cellStyle name="Финансовый 2" xfId="3"/>
    <cellStyle name="Формула_свод УЕ по сетевым 2.1" xfId="5"/>
    <cellStyle name="Формула_свод УЕ по сетевым 2.2" xfId="8"/>
    <cellStyle name="ФормулаВБ" xfId="9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R32"/>
  <sheetViews>
    <sheetView view="pageBreakPreview" topLeftCell="F7" zoomScale="110" zoomScaleNormal="75" zoomScaleSheetLayoutView="110" workbookViewId="0">
      <selection activeCell="G25" sqref="G25"/>
    </sheetView>
  </sheetViews>
  <sheetFormatPr defaultColWidth="9.140625" defaultRowHeight="15" x14ac:dyDescent="0.25"/>
  <cols>
    <col min="1" max="1" width="5" style="5" customWidth="1"/>
    <col min="2" max="2" width="36.28515625" style="6" customWidth="1"/>
    <col min="3" max="3" width="10" style="5" customWidth="1"/>
    <col min="4" max="4" width="12.7109375" style="7" customWidth="1"/>
    <col min="5" max="5" width="13.85546875" style="7" customWidth="1"/>
    <col min="6" max="6" width="12.7109375" style="7" customWidth="1"/>
    <col min="7" max="7" width="12" style="7" customWidth="1"/>
    <col min="8" max="8" width="7" style="7" customWidth="1"/>
    <col min="9" max="9" width="13.42578125" style="7" customWidth="1"/>
    <col min="10" max="10" width="13.28515625" style="7" customWidth="1"/>
    <col min="11" max="11" width="12.7109375" style="7" customWidth="1"/>
    <col min="12" max="12" width="12" style="7" customWidth="1"/>
    <col min="13" max="13" width="7.140625" style="7" customWidth="1"/>
    <col min="14" max="14" width="13.42578125" style="7" customWidth="1"/>
    <col min="15" max="15" width="13.28515625" style="7" customWidth="1"/>
    <col min="16" max="16" width="12.7109375" style="7" customWidth="1"/>
    <col min="17" max="17" width="12" style="7" customWidth="1"/>
    <col min="18" max="18" width="7.28515625" style="7" customWidth="1"/>
    <col min="19" max="16384" width="9.140625" style="6"/>
  </cols>
  <sheetData>
    <row r="1" spans="1:18" ht="20.25" x14ac:dyDescent="0.3">
      <c r="B1" s="281" t="s">
        <v>278</v>
      </c>
    </row>
    <row r="2" spans="1:18" s="4" customFormat="1" ht="15.75" x14ac:dyDescent="0.25">
      <c r="A2" s="309" t="s">
        <v>62</v>
      </c>
      <c r="B2" s="309"/>
      <c r="C2" s="309"/>
      <c r="D2" s="310"/>
      <c r="E2" s="3"/>
      <c r="F2" s="3"/>
      <c r="G2" s="3" t="s">
        <v>308</v>
      </c>
      <c r="H2" s="3"/>
      <c r="J2" s="3"/>
      <c r="K2" s="3"/>
      <c r="L2" s="3" t="s">
        <v>308</v>
      </c>
      <c r="M2" s="3"/>
      <c r="O2" s="3"/>
      <c r="P2" s="3"/>
      <c r="Q2" s="3" t="s">
        <v>308</v>
      </c>
    </row>
    <row r="3" spans="1:18" ht="15.75" thickBot="1" x14ac:dyDescent="0.3"/>
    <row r="4" spans="1:18" ht="12.75" customHeight="1" x14ac:dyDescent="0.25">
      <c r="A4" s="311" t="s">
        <v>63</v>
      </c>
      <c r="B4" s="313" t="s">
        <v>64</v>
      </c>
      <c r="C4" s="315" t="s">
        <v>65</v>
      </c>
      <c r="D4" s="306" t="s">
        <v>317</v>
      </c>
      <c r="E4" s="307"/>
      <c r="F4" s="307"/>
      <c r="G4" s="307"/>
      <c r="H4" s="308"/>
      <c r="I4" s="306" t="s">
        <v>318</v>
      </c>
      <c r="J4" s="307"/>
      <c r="K4" s="307"/>
      <c r="L4" s="307"/>
      <c r="M4" s="308"/>
      <c r="N4" s="306" t="s">
        <v>319</v>
      </c>
      <c r="O4" s="307"/>
      <c r="P4" s="307"/>
      <c r="Q4" s="307"/>
      <c r="R4" s="308"/>
    </row>
    <row r="5" spans="1:18" s="5" customFormat="1" x14ac:dyDescent="0.25">
      <c r="A5" s="312"/>
      <c r="B5" s="314"/>
      <c r="C5" s="316"/>
      <c r="D5" s="8" t="s">
        <v>0</v>
      </c>
      <c r="E5" s="9" t="s">
        <v>6</v>
      </c>
      <c r="F5" s="9" t="s">
        <v>7</v>
      </c>
      <c r="G5" s="9" t="s">
        <v>8</v>
      </c>
      <c r="H5" s="10" t="s">
        <v>9</v>
      </c>
      <c r="I5" s="8" t="s">
        <v>0</v>
      </c>
      <c r="J5" s="9" t="s">
        <v>6</v>
      </c>
      <c r="K5" s="9" t="s">
        <v>7</v>
      </c>
      <c r="L5" s="9" t="s">
        <v>8</v>
      </c>
      <c r="M5" s="10" t="s">
        <v>9</v>
      </c>
      <c r="N5" s="8" t="s">
        <v>0</v>
      </c>
      <c r="O5" s="9" t="s">
        <v>6</v>
      </c>
      <c r="P5" s="9" t="s">
        <v>7</v>
      </c>
      <c r="Q5" s="9" t="s">
        <v>8</v>
      </c>
      <c r="R5" s="10" t="s">
        <v>9</v>
      </c>
    </row>
    <row r="6" spans="1:18" s="5" customFormat="1" ht="15.75" thickBot="1" x14ac:dyDescent="0.3">
      <c r="A6" s="11">
        <v>1</v>
      </c>
      <c r="B6" s="12">
        <v>2</v>
      </c>
      <c r="C6" s="317"/>
      <c r="D6" s="13">
        <f>1</f>
        <v>1</v>
      </c>
      <c r="E6" s="14">
        <f>D6+1</f>
        <v>2</v>
      </c>
      <c r="F6" s="14">
        <f>E6+1</f>
        <v>3</v>
      </c>
      <c r="G6" s="14">
        <f>F6+1</f>
        <v>4</v>
      </c>
      <c r="H6" s="15">
        <f>G6+1</f>
        <v>5</v>
      </c>
      <c r="I6" s="13">
        <f>1</f>
        <v>1</v>
      </c>
      <c r="J6" s="14">
        <f>I6+1</f>
        <v>2</v>
      </c>
      <c r="K6" s="14">
        <f>J6+1</f>
        <v>3</v>
      </c>
      <c r="L6" s="14">
        <f>K6+1</f>
        <v>4</v>
      </c>
      <c r="M6" s="15">
        <f>L6+1</f>
        <v>5</v>
      </c>
      <c r="N6" s="13">
        <f>1</f>
        <v>1</v>
      </c>
      <c r="O6" s="14">
        <f>N6+1</f>
        <v>2</v>
      </c>
      <c r="P6" s="14">
        <f>O6+1</f>
        <v>3</v>
      </c>
      <c r="Q6" s="14">
        <f>P6+1</f>
        <v>4</v>
      </c>
      <c r="R6" s="15">
        <f>Q6+1</f>
        <v>5</v>
      </c>
    </row>
    <row r="7" spans="1:18" s="4" customFormat="1" ht="21" customHeight="1" x14ac:dyDescent="0.25">
      <c r="A7" s="238" t="s">
        <v>15</v>
      </c>
      <c r="B7" s="239" t="s">
        <v>66</v>
      </c>
      <c r="C7" s="240" t="s">
        <v>67</v>
      </c>
      <c r="D7" s="221">
        <f>D16</f>
        <v>332514.10500000004</v>
      </c>
      <c r="E7" s="222">
        <f>E16</f>
        <v>291259.24400000001</v>
      </c>
      <c r="F7" s="222">
        <f>SUM(F11:F16)</f>
        <v>197296.47800000003</v>
      </c>
      <c r="G7" s="222">
        <f>SUM(G11:G16)</f>
        <v>10733.761000000033</v>
      </c>
      <c r="H7" s="223"/>
      <c r="I7" s="221">
        <f>I16</f>
        <v>353434.32200000004</v>
      </c>
      <c r="J7" s="222">
        <f>J16</f>
        <v>298728.53700000001</v>
      </c>
      <c r="K7" s="222">
        <f>SUM(K11:K16)</f>
        <v>218239.74600000001</v>
      </c>
      <c r="L7" s="222">
        <f>SUM(L11:L16)</f>
        <v>12423.107000000013</v>
      </c>
      <c r="M7" s="223"/>
      <c r="N7" s="277">
        <f>N16</f>
        <v>685948.42699999991</v>
      </c>
      <c r="O7" s="222">
        <f>O16</f>
        <v>589987.78099999996</v>
      </c>
      <c r="P7" s="222">
        <f>SUM(P11:P16)</f>
        <v>415536.22400000005</v>
      </c>
      <c r="Q7" s="222">
        <f>SUM(Q11:Q16)</f>
        <v>23156.868000000046</v>
      </c>
      <c r="R7" s="223"/>
    </row>
    <row r="8" spans="1:18" s="4" customFormat="1" x14ac:dyDescent="0.25">
      <c r="A8" s="241" t="s">
        <v>2</v>
      </c>
      <c r="B8" s="242" t="s">
        <v>68</v>
      </c>
      <c r="C8" s="243" t="s">
        <v>67</v>
      </c>
      <c r="D8" s="21"/>
      <c r="E8" s="224"/>
      <c r="F8" s="224">
        <f>F11</f>
        <v>157452.30700000003</v>
      </c>
      <c r="G8" s="224">
        <f>G12</f>
        <v>9323.0710000000327</v>
      </c>
      <c r="H8" s="225"/>
      <c r="I8" s="21"/>
      <c r="J8" s="224"/>
      <c r="K8" s="224">
        <f>K11</f>
        <v>164857.36600000001</v>
      </c>
      <c r="L8" s="224">
        <f>L12</f>
        <v>11099.702000000012</v>
      </c>
      <c r="M8" s="225"/>
      <c r="N8" s="21"/>
      <c r="O8" s="224"/>
      <c r="P8" s="224">
        <f>P11</f>
        <v>322309.67300000007</v>
      </c>
      <c r="Q8" s="224">
        <f>Q12</f>
        <v>20422.773000000045</v>
      </c>
      <c r="R8" s="225"/>
    </row>
    <row r="9" spans="1:18" x14ac:dyDescent="0.25">
      <c r="A9" s="241"/>
      <c r="B9" s="242" t="s">
        <v>69</v>
      </c>
      <c r="C9" s="244"/>
      <c r="D9" s="16"/>
      <c r="E9" s="17"/>
      <c r="F9" s="17"/>
      <c r="G9" s="17"/>
      <c r="H9" s="18"/>
      <c r="I9" s="16"/>
      <c r="J9" s="17"/>
      <c r="K9" s="17"/>
      <c r="L9" s="17"/>
      <c r="M9" s="18"/>
      <c r="N9" s="16"/>
      <c r="O9" s="17"/>
      <c r="P9" s="17"/>
      <c r="Q9" s="17"/>
      <c r="R9" s="18"/>
    </row>
    <row r="10" spans="1:18" x14ac:dyDescent="0.25">
      <c r="A10" s="241"/>
      <c r="B10" s="242" t="s">
        <v>70</v>
      </c>
      <c r="C10" s="243" t="s">
        <v>71</v>
      </c>
      <c r="D10" s="16"/>
      <c r="E10" s="19"/>
      <c r="F10" s="19"/>
      <c r="G10" s="19"/>
      <c r="H10" s="20"/>
      <c r="I10" s="16"/>
      <c r="J10" s="19"/>
      <c r="K10" s="19"/>
      <c r="L10" s="19"/>
      <c r="M10" s="20"/>
      <c r="N10" s="16"/>
      <c r="O10" s="19"/>
      <c r="P10" s="19"/>
      <c r="Q10" s="19"/>
      <c r="R10" s="20"/>
    </row>
    <row r="11" spans="1:18" x14ac:dyDescent="0.25">
      <c r="A11" s="241"/>
      <c r="B11" s="242" t="s">
        <v>6</v>
      </c>
      <c r="C11" s="243" t="s">
        <v>67</v>
      </c>
      <c r="D11" s="16"/>
      <c r="E11" s="245"/>
      <c r="F11" s="19">
        <f>E16-E17-E23-E27-E29</f>
        <v>157452.30700000003</v>
      </c>
      <c r="G11" s="19"/>
      <c r="H11" s="20"/>
      <c r="I11" s="16"/>
      <c r="J11" s="245"/>
      <c r="K11" s="19">
        <f>J16-J17-J23-J27-J29</f>
        <v>164857.36600000001</v>
      </c>
      <c r="L11" s="19"/>
      <c r="M11" s="20"/>
      <c r="N11" s="16"/>
      <c r="O11" s="245"/>
      <c r="P11" s="19">
        <f>F11+K11</f>
        <v>322309.67300000007</v>
      </c>
      <c r="Q11" s="19"/>
      <c r="R11" s="20"/>
    </row>
    <row r="12" spans="1:18" x14ac:dyDescent="0.25">
      <c r="A12" s="241"/>
      <c r="B12" s="242" t="s">
        <v>7</v>
      </c>
      <c r="C12" s="243" t="s">
        <v>67</v>
      </c>
      <c r="D12" s="16"/>
      <c r="E12" s="245"/>
      <c r="F12" s="245"/>
      <c r="G12" s="19">
        <f>F7-F17-F27-F29</f>
        <v>9323.0710000000327</v>
      </c>
      <c r="H12" s="20"/>
      <c r="I12" s="16"/>
      <c r="J12" s="245"/>
      <c r="K12" s="245"/>
      <c r="L12" s="19">
        <f>K7-K17-K27-K29</f>
        <v>11099.702000000012</v>
      </c>
      <c r="M12" s="20"/>
      <c r="N12" s="16"/>
      <c r="O12" s="245"/>
      <c r="P12" s="245"/>
      <c r="Q12" s="19">
        <f>G12+L12</f>
        <v>20422.773000000045</v>
      </c>
      <c r="R12" s="20"/>
    </row>
    <row r="13" spans="1:18" x14ac:dyDescent="0.25">
      <c r="A13" s="241"/>
      <c r="B13" s="242" t="s">
        <v>8</v>
      </c>
      <c r="C13" s="243" t="s">
        <v>67</v>
      </c>
      <c r="D13" s="16"/>
      <c r="E13" s="245"/>
      <c r="F13" s="245"/>
      <c r="G13" s="245"/>
      <c r="H13" s="20"/>
      <c r="I13" s="16"/>
      <c r="J13" s="245"/>
      <c r="K13" s="245"/>
      <c r="L13" s="245"/>
      <c r="M13" s="20"/>
      <c r="N13" s="16"/>
      <c r="O13" s="245"/>
      <c r="P13" s="245"/>
      <c r="Q13" s="245"/>
      <c r="R13" s="20"/>
    </row>
    <row r="14" spans="1:18" x14ac:dyDescent="0.25">
      <c r="A14" s="241" t="s">
        <v>3</v>
      </c>
      <c r="B14" s="242" t="s">
        <v>72</v>
      </c>
      <c r="C14" s="243" t="s">
        <v>67</v>
      </c>
      <c r="D14" s="21"/>
      <c r="E14" s="19"/>
      <c r="F14" s="19"/>
      <c r="G14" s="19"/>
      <c r="H14" s="20"/>
      <c r="I14" s="21"/>
      <c r="J14" s="19"/>
      <c r="K14" s="19"/>
      <c r="L14" s="19"/>
      <c r="M14" s="20"/>
      <c r="N14" s="21"/>
      <c r="O14" s="19"/>
      <c r="P14" s="19"/>
      <c r="Q14" s="19"/>
      <c r="R14" s="20"/>
    </row>
    <row r="15" spans="1:18" x14ac:dyDescent="0.25">
      <c r="A15" s="241" t="s">
        <v>4</v>
      </c>
      <c r="B15" s="242" t="s">
        <v>73</v>
      </c>
      <c r="C15" s="243" t="s">
        <v>67</v>
      </c>
      <c r="D15" s="21"/>
      <c r="E15" s="19"/>
      <c r="F15" s="19"/>
      <c r="G15" s="19"/>
      <c r="H15" s="20"/>
      <c r="I15" s="21"/>
      <c r="J15" s="19"/>
      <c r="K15" s="19"/>
      <c r="L15" s="19"/>
      <c r="M15" s="20"/>
      <c r="N15" s="21"/>
      <c r="O15" s="19"/>
      <c r="P15" s="19"/>
      <c r="Q15" s="19"/>
      <c r="R15" s="20"/>
    </row>
    <row r="16" spans="1:18" ht="29.25" customHeight="1" x14ac:dyDescent="0.25">
      <c r="A16" s="241" t="s">
        <v>5</v>
      </c>
      <c r="B16" s="242" t="s">
        <v>74</v>
      </c>
      <c r="C16" s="243" t="s">
        <v>67</v>
      </c>
      <c r="D16" s="21">
        <f>SUM(E16:G16)</f>
        <v>332514.10500000004</v>
      </c>
      <c r="E16" s="19">
        <v>291259.24400000001</v>
      </c>
      <c r="F16" s="19">
        <v>39844.171000000002</v>
      </c>
      <c r="G16" s="19">
        <v>1410.69</v>
      </c>
      <c r="H16" s="20"/>
      <c r="I16" s="21">
        <f>SUM(J16:L16)</f>
        <v>353434.32200000004</v>
      </c>
      <c r="J16" s="19">
        <v>298728.53700000001</v>
      </c>
      <c r="K16" s="19">
        <v>53382.38</v>
      </c>
      <c r="L16" s="19">
        <v>1323.405</v>
      </c>
      <c r="M16" s="20"/>
      <c r="N16" s="21">
        <f>O16+P16+Q16</f>
        <v>685948.42699999991</v>
      </c>
      <c r="O16" s="19">
        <f t="shared" ref="O16:Q17" si="0">E16+J16</f>
        <v>589987.78099999996</v>
      </c>
      <c r="P16" s="19">
        <f t="shared" si="0"/>
        <v>93226.551000000007</v>
      </c>
      <c r="Q16" s="19">
        <f t="shared" si="0"/>
        <v>2734.0950000000003</v>
      </c>
      <c r="R16" s="20"/>
    </row>
    <row r="17" spans="1:18" s="4" customFormat="1" x14ac:dyDescent="0.25">
      <c r="A17" s="241" t="s">
        <v>19</v>
      </c>
      <c r="B17" s="242" t="s">
        <v>75</v>
      </c>
      <c r="C17" s="243" t="s">
        <v>67</v>
      </c>
      <c r="D17" s="21">
        <f>SUM(E17:G17)</f>
        <v>7155.353000000001</v>
      </c>
      <c r="E17" s="224">
        <v>6227.0990000000002</v>
      </c>
      <c r="F17" s="224">
        <v>916.17600000000004</v>
      </c>
      <c r="G17" s="224">
        <v>12.077999999999999</v>
      </c>
      <c r="H17" s="226"/>
      <c r="I17" s="21">
        <f>SUM(J17:L17)</f>
        <v>7253.4780000000001</v>
      </c>
      <c r="J17" s="224">
        <v>6464.4470000000001</v>
      </c>
      <c r="K17" s="224">
        <v>767.35500000000002</v>
      </c>
      <c r="L17" s="224">
        <v>21.675999999999998</v>
      </c>
      <c r="M17" s="226"/>
      <c r="N17" s="21">
        <f>O17+P17+Q17</f>
        <v>14408.831000000002</v>
      </c>
      <c r="O17" s="224">
        <f t="shared" si="0"/>
        <v>12691.546</v>
      </c>
      <c r="P17" s="224">
        <f t="shared" si="0"/>
        <v>1683.5309999999999</v>
      </c>
      <c r="Q17" s="224">
        <f t="shared" si="0"/>
        <v>33.753999999999998</v>
      </c>
      <c r="R17" s="226"/>
    </row>
    <row r="18" spans="1:18" s="4" customFormat="1" x14ac:dyDescent="0.25">
      <c r="A18" s="241"/>
      <c r="B18" s="242" t="s">
        <v>76</v>
      </c>
      <c r="C18" s="243" t="s">
        <v>1</v>
      </c>
      <c r="D18" s="291">
        <f>D17/D16*100</f>
        <v>2.1518945790284594</v>
      </c>
      <c r="E18" s="292">
        <f>E17/E7*100</f>
        <v>2.1379918846455568</v>
      </c>
      <c r="F18" s="292">
        <f t="shared" ref="F18:G18" si="1">F17/F7*100</f>
        <v>0.46436510640600487</v>
      </c>
      <c r="G18" s="292">
        <f t="shared" si="1"/>
        <v>0.1125234668444729</v>
      </c>
      <c r="H18" s="293"/>
      <c r="I18" s="291">
        <f>I17/I16*100</f>
        <v>2.0522845542997374</v>
      </c>
      <c r="J18" s="292">
        <f>J17/J7*100</f>
        <v>2.1639870984270915</v>
      </c>
      <c r="K18" s="292">
        <f t="shared" ref="K18" si="2">K17/K7*100</f>
        <v>0.35161102139479211</v>
      </c>
      <c r="L18" s="292">
        <f t="shared" ref="L18" si="3">L17/L7*100</f>
        <v>0.17448131131769193</v>
      </c>
      <c r="M18" s="293"/>
      <c r="N18" s="291">
        <f>N17/N16*100</f>
        <v>2.1005706016437884</v>
      </c>
      <c r="O18" s="292">
        <f>O17/O7*100</f>
        <v>2.151154042290242</v>
      </c>
      <c r="P18" s="292">
        <f t="shared" ref="P18" si="4">P17/P7*100</f>
        <v>0.40514662808313912</v>
      </c>
      <c r="Q18" s="292">
        <f t="shared" ref="Q18" si="5">Q17/Q7*100</f>
        <v>0.14576237166442341</v>
      </c>
      <c r="R18" s="225"/>
    </row>
    <row r="19" spans="1:18" s="4" customFormat="1" ht="28.5" customHeight="1" x14ac:dyDescent="0.25">
      <c r="A19" s="246" t="s">
        <v>77</v>
      </c>
      <c r="B19" s="242" t="s">
        <v>78</v>
      </c>
      <c r="C19" s="243" t="s">
        <v>67</v>
      </c>
      <c r="D19" s="21"/>
      <c r="E19" s="224"/>
      <c r="F19" s="224"/>
      <c r="G19" s="224"/>
      <c r="H19" s="225"/>
      <c r="I19" s="21"/>
      <c r="J19" s="224"/>
      <c r="K19" s="224"/>
      <c r="L19" s="224"/>
      <c r="M19" s="225"/>
      <c r="N19" s="21"/>
      <c r="O19" s="224"/>
      <c r="P19" s="224"/>
      <c r="Q19" s="224"/>
      <c r="R19" s="225"/>
    </row>
    <row r="20" spans="1:18" s="4" customFormat="1" ht="45" customHeight="1" x14ac:dyDescent="0.25">
      <c r="A20" s="246" t="s">
        <v>79</v>
      </c>
      <c r="B20" s="242" t="s">
        <v>80</v>
      </c>
      <c r="C20" s="243" t="s">
        <v>67</v>
      </c>
      <c r="D20" s="21"/>
      <c r="E20" s="19"/>
      <c r="F20" s="19"/>
      <c r="G20" s="19"/>
      <c r="H20" s="20"/>
      <c r="I20" s="21"/>
      <c r="J20" s="19"/>
      <c r="K20" s="19"/>
      <c r="L20" s="19"/>
      <c r="M20" s="20"/>
      <c r="N20" s="21"/>
      <c r="O20" s="19"/>
      <c r="P20" s="19"/>
      <c r="Q20" s="19"/>
      <c r="R20" s="20"/>
    </row>
    <row r="21" spans="1:18" s="4" customFormat="1" ht="30" x14ac:dyDescent="0.25">
      <c r="A21" s="246" t="s">
        <v>81</v>
      </c>
      <c r="B21" s="242" t="s">
        <v>82</v>
      </c>
      <c r="C21" s="243" t="s">
        <v>67</v>
      </c>
      <c r="D21" s="21">
        <f>E21+F21+G21</f>
        <v>7155.353000000001</v>
      </c>
      <c r="E21" s="19">
        <f>E17</f>
        <v>6227.0990000000002</v>
      </c>
      <c r="F21" s="19">
        <f t="shared" ref="F21:G21" si="6">F17</f>
        <v>916.17600000000004</v>
      </c>
      <c r="G21" s="19">
        <f t="shared" si="6"/>
        <v>12.077999999999999</v>
      </c>
      <c r="H21" s="20"/>
      <c r="I21" s="21">
        <f>SUM(J21:L21)</f>
        <v>7253.4780000000001</v>
      </c>
      <c r="J21" s="19">
        <f>J17</f>
        <v>6464.4470000000001</v>
      </c>
      <c r="K21" s="19">
        <f t="shared" ref="K21:L21" si="7">K17</f>
        <v>767.35500000000002</v>
      </c>
      <c r="L21" s="19">
        <f t="shared" si="7"/>
        <v>21.675999999999998</v>
      </c>
      <c r="M21" s="20"/>
      <c r="N21" s="21">
        <f t="shared" ref="N21:N23" si="8">O21+P21+Q21</f>
        <v>14408.831000000002</v>
      </c>
      <c r="O21" s="19">
        <f>O17</f>
        <v>12691.546</v>
      </c>
      <c r="P21" s="19">
        <f t="shared" ref="P21:Q21" si="9">P17</f>
        <v>1683.5309999999999</v>
      </c>
      <c r="Q21" s="19">
        <f t="shared" si="9"/>
        <v>33.753999999999998</v>
      </c>
      <c r="R21" s="20"/>
    </row>
    <row r="22" spans="1:18" s="4" customFormat="1" ht="30" x14ac:dyDescent="0.25">
      <c r="A22" s="246" t="s">
        <v>83</v>
      </c>
      <c r="B22" s="242" t="s">
        <v>279</v>
      </c>
      <c r="C22" s="243" t="s">
        <v>67</v>
      </c>
      <c r="D22" s="21">
        <f>E22+F22+G22</f>
        <v>7155.353000000001</v>
      </c>
      <c r="E22" s="19">
        <f>E21</f>
        <v>6227.0990000000002</v>
      </c>
      <c r="F22" s="19">
        <f t="shared" ref="F22:G22" si="10">F21</f>
        <v>916.17600000000004</v>
      </c>
      <c r="G22" s="19">
        <f t="shared" si="10"/>
        <v>12.077999999999999</v>
      </c>
      <c r="H22" s="20"/>
      <c r="I22" s="21">
        <f>SUM(J22:L22)</f>
        <v>7253.4780000000001</v>
      </c>
      <c r="J22" s="19">
        <f>J21</f>
        <v>6464.4470000000001</v>
      </c>
      <c r="K22" s="19">
        <f t="shared" ref="K22:L22" si="11">K21</f>
        <v>767.35500000000002</v>
      </c>
      <c r="L22" s="19">
        <f t="shared" si="11"/>
        <v>21.675999999999998</v>
      </c>
      <c r="M22" s="272"/>
      <c r="N22" s="21">
        <f t="shared" si="8"/>
        <v>14408.831000000002</v>
      </c>
      <c r="O22" s="19">
        <f t="shared" ref="O22:O25" si="12">E22+J22</f>
        <v>12691.546</v>
      </c>
      <c r="P22" s="19">
        <f t="shared" ref="P22" si="13">F22+K22</f>
        <v>1683.5309999999999</v>
      </c>
      <c r="Q22" s="19">
        <f t="shared" ref="Q22:Q25" si="14">G22+L22</f>
        <v>33.753999999999998</v>
      </c>
      <c r="R22" s="20"/>
    </row>
    <row r="23" spans="1:18" s="4" customFormat="1" ht="30" x14ac:dyDescent="0.25">
      <c r="A23" s="241" t="s">
        <v>21</v>
      </c>
      <c r="B23" s="242" t="s">
        <v>84</v>
      </c>
      <c r="C23" s="243" t="s">
        <v>67</v>
      </c>
      <c r="D23" s="21">
        <f>SUM(E23:G23)</f>
        <v>279.84399999999999</v>
      </c>
      <c r="E23" s="19">
        <v>74.566000000000003</v>
      </c>
      <c r="F23" s="19"/>
      <c r="G23" s="19">
        <v>205.27799999999999</v>
      </c>
      <c r="H23" s="20"/>
      <c r="I23" s="21">
        <f>J23+L23</f>
        <v>236.50200000000001</v>
      </c>
      <c r="J23" s="19">
        <v>57.46</v>
      </c>
      <c r="K23" s="19"/>
      <c r="L23" s="19">
        <v>179.042</v>
      </c>
      <c r="M23" s="272"/>
      <c r="N23" s="21">
        <f t="shared" si="8"/>
        <v>516.346</v>
      </c>
      <c r="O23" s="19">
        <f t="shared" si="12"/>
        <v>132.02600000000001</v>
      </c>
      <c r="P23" s="19"/>
      <c r="Q23" s="19">
        <f t="shared" si="14"/>
        <v>384.32</v>
      </c>
      <c r="R23" s="20"/>
    </row>
    <row r="24" spans="1:18" x14ac:dyDescent="0.25">
      <c r="A24" s="241" t="s">
        <v>22</v>
      </c>
      <c r="B24" s="242" t="s">
        <v>85</v>
      </c>
      <c r="C24" s="243" t="s">
        <v>67</v>
      </c>
      <c r="D24" s="21">
        <f>SUM(E24:G24)</f>
        <v>325078.90800000005</v>
      </c>
      <c r="E24" s="224">
        <f>SUM(E27:E29)</f>
        <v>127505.272</v>
      </c>
      <c r="F24" s="224">
        <f t="shared" ref="F24:G24" si="15">SUM(F27:F29)</f>
        <v>187057.231</v>
      </c>
      <c r="G24" s="224">
        <f t="shared" si="15"/>
        <v>10516.405000000001</v>
      </c>
      <c r="H24" s="225"/>
      <c r="I24" s="21">
        <f>SUM(J24:L24)</f>
        <v>345944.342</v>
      </c>
      <c r="J24" s="224">
        <f>SUM(J27:J30)</f>
        <v>127349.264</v>
      </c>
      <c r="K24" s="224">
        <f t="shared" ref="K24:L24" si="16">SUM(K27:K30)</f>
        <v>206372.68899999998</v>
      </c>
      <c r="L24" s="224">
        <f t="shared" si="16"/>
        <v>12222.388999999999</v>
      </c>
      <c r="M24" s="273"/>
      <c r="N24" s="275">
        <f>D24+I24</f>
        <v>671023.25</v>
      </c>
      <c r="O24" s="224">
        <f>E24+J24</f>
        <v>254854.53599999999</v>
      </c>
      <c r="P24" s="224">
        <f t="shared" ref="P24:P25" si="17">F24+K24</f>
        <v>393429.92</v>
      </c>
      <c r="Q24" s="224">
        <f t="shared" si="14"/>
        <v>22738.794000000002</v>
      </c>
      <c r="R24" s="225"/>
    </row>
    <row r="25" spans="1:18" x14ac:dyDescent="0.25">
      <c r="A25" s="241" t="s">
        <v>10</v>
      </c>
      <c r="B25" s="242" t="s">
        <v>86</v>
      </c>
      <c r="C25" s="243" t="s">
        <v>67</v>
      </c>
      <c r="D25" s="21">
        <f>SUM(E25:G25)</f>
        <v>325078.90800000005</v>
      </c>
      <c r="E25" s="224">
        <f>П1.6!D39</f>
        <v>127505.27200000001</v>
      </c>
      <c r="F25" s="224">
        <f>П1.6!E39</f>
        <v>187057.231</v>
      </c>
      <c r="G25" s="224">
        <f>П1.6!F39</f>
        <v>10516.404999999999</v>
      </c>
      <c r="H25" s="226"/>
      <c r="I25" s="21">
        <f>SUM(J25:L25)</f>
        <v>345944.34200000006</v>
      </c>
      <c r="J25" s="224">
        <f>П1.6!D79</f>
        <v>127349.26400000001</v>
      </c>
      <c r="K25" s="224">
        <f>П1.6!E79</f>
        <v>206372.68900000001</v>
      </c>
      <c r="L25" s="224">
        <f>П1.6!F79</f>
        <v>12222.388999999997</v>
      </c>
      <c r="M25" s="273"/>
      <c r="N25" s="275">
        <f t="shared" ref="N25" si="18">D25+I25</f>
        <v>671023.25000000012</v>
      </c>
      <c r="O25" s="224">
        <f t="shared" si="12"/>
        <v>254854.53600000002</v>
      </c>
      <c r="P25" s="224">
        <f t="shared" si="17"/>
        <v>393429.92000000004</v>
      </c>
      <c r="Q25" s="224">
        <f t="shared" si="14"/>
        <v>22738.793999999994</v>
      </c>
      <c r="R25" s="226"/>
    </row>
    <row r="26" spans="1:18" x14ac:dyDescent="0.25">
      <c r="A26" s="241"/>
      <c r="B26" s="242" t="s">
        <v>87</v>
      </c>
      <c r="C26" s="243" t="s">
        <v>67</v>
      </c>
      <c r="D26" s="16"/>
      <c r="E26" s="17"/>
      <c r="F26" s="17"/>
      <c r="G26" s="17"/>
      <c r="H26" s="18"/>
      <c r="I26" s="16"/>
      <c r="J26" s="17"/>
      <c r="K26" s="17"/>
      <c r="L26" s="17"/>
      <c r="M26" s="274"/>
      <c r="N26" s="276"/>
      <c r="O26" s="17"/>
      <c r="P26" s="17"/>
      <c r="Q26" s="17"/>
      <c r="R26" s="18"/>
    </row>
    <row r="27" spans="1:18" ht="36.75" customHeight="1" x14ac:dyDescent="0.25">
      <c r="A27" s="241"/>
      <c r="B27" s="247" t="s">
        <v>88</v>
      </c>
      <c r="C27" s="243" t="s">
        <v>67</v>
      </c>
      <c r="D27" s="21">
        <f>SUM(E27:G27)</f>
        <v>289268.45199999999</v>
      </c>
      <c r="E27" s="19">
        <v>127376.995</v>
      </c>
      <c r="F27" s="19">
        <v>151421.59599999999</v>
      </c>
      <c r="G27" s="19">
        <v>10469.861000000001</v>
      </c>
      <c r="H27" s="20"/>
      <c r="I27" s="21">
        <f>SUM(J27:L27)</f>
        <v>312673.21599999996</v>
      </c>
      <c r="J27" s="19">
        <v>127349.264</v>
      </c>
      <c r="K27" s="19">
        <v>173179.79399999999</v>
      </c>
      <c r="L27" s="19">
        <v>12144.157999999999</v>
      </c>
      <c r="M27" s="272"/>
      <c r="N27" s="21">
        <f t="shared" ref="N27:N29" si="19">O27+P27+Q27</f>
        <v>601941.66799999995</v>
      </c>
      <c r="O27" s="19">
        <f t="shared" ref="O27:O29" si="20">E27+J27</f>
        <v>254726.25899999999</v>
      </c>
      <c r="P27" s="19">
        <f t="shared" ref="P27:P29" si="21">F27+K27</f>
        <v>324601.39</v>
      </c>
      <c r="Q27" s="19">
        <f t="shared" ref="Q27:Q29" si="22">G27+L27</f>
        <v>22614.019</v>
      </c>
      <c r="R27" s="20"/>
    </row>
    <row r="28" spans="1:18" ht="45" x14ac:dyDescent="0.25">
      <c r="A28" s="241"/>
      <c r="B28" s="247" t="s">
        <v>89</v>
      </c>
      <c r="C28" s="243" t="s">
        <v>67</v>
      </c>
      <c r="D28" s="21"/>
      <c r="E28" s="19"/>
      <c r="F28" s="19"/>
      <c r="G28" s="19"/>
      <c r="H28" s="20"/>
      <c r="I28" s="21"/>
      <c r="J28" s="19"/>
      <c r="K28" s="19"/>
      <c r="L28" s="19"/>
      <c r="M28" s="20"/>
      <c r="N28" s="21"/>
      <c r="O28" s="19"/>
      <c r="P28" s="19"/>
      <c r="Q28" s="19"/>
      <c r="R28" s="20"/>
    </row>
    <row r="29" spans="1:18" ht="30" x14ac:dyDescent="0.25">
      <c r="A29" s="248" t="s">
        <v>11</v>
      </c>
      <c r="B29" s="242" t="s">
        <v>90</v>
      </c>
      <c r="C29" s="243" t="s">
        <v>67</v>
      </c>
      <c r="D29" s="21">
        <f>SUM(E29:G29)</f>
        <v>35810.456000000006</v>
      </c>
      <c r="E29" s="19">
        <v>128.27699999999999</v>
      </c>
      <c r="F29" s="19">
        <v>35635.635000000002</v>
      </c>
      <c r="G29" s="19">
        <v>46.543999999999997</v>
      </c>
      <c r="H29" s="20"/>
      <c r="I29" s="21">
        <f>SUM(J29:L29)</f>
        <v>33271.125999999997</v>
      </c>
      <c r="J29" s="19">
        <v>0</v>
      </c>
      <c r="K29" s="19">
        <v>33192.894999999997</v>
      </c>
      <c r="L29" s="19">
        <v>78.230999999999995</v>
      </c>
      <c r="M29" s="20"/>
      <c r="N29" s="21">
        <f t="shared" si="19"/>
        <v>69081.581999999995</v>
      </c>
      <c r="O29" s="19">
        <f t="shared" si="20"/>
        <v>128.27699999999999</v>
      </c>
      <c r="P29" s="19">
        <f t="shared" si="21"/>
        <v>68828.53</v>
      </c>
      <c r="Q29" s="19">
        <f t="shared" si="22"/>
        <v>124.77499999999999</v>
      </c>
      <c r="R29" s="20"/>
    </row>
    <row r="30" spans="1:18" s="4" customFormat="1" ht="15.75" customHeight="1" x14ac:dyDescent="0.25">
      <c r="A30" s="241" t="s">
        <v>61</v>
      </c>
      <c r="B30" s="242" t="s">
        <v>91</v>
      </c>
      <c r="C30" s="243" t="s">
        <v>67</v>
      </c>
      <c r="D30" s="21"/>
      <c r="E30" s="19"/>
      <c r="F30" s="19"/>
      <c r="G30" s="19"/>
      <c r="H30" s="20"/>
      <c r="I30" s="21"/>
      <c r="J30" s="19"/>
      <c r="K30" s="19"/>
      <c r="L30" s="19"/>
      <c r="M30" s="20"/>
      <c r="N30" s="21"/>
      <c r="O30" s="19"/>
      <c r="P30" s="19"/>
      <c r="Q30" s="19"/>
      <c r="R30" s="20"/>
    </row>
    <row r="31" spans="1:18" s="4" customFormat="1" x14ac:dyDescent="0.25">
      <c r="A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4" customFormat="1" x14ac:dyDescent="0.25">
      <c r="A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mergeCells count="7">
    <mergeCell ref="N4:R4"/>
    <mergeCell ref="A2:D2"/>
    <mergeCell ref="A4:A5"/>
    <mergeCell ref="B4:B5"/>
    <mergeCell ref="C4:C6"/>
    <mergeCell ref="D4:H4"/>
    <mergeCell ref="I4:M4"/>
  </mergeCells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V32"/>
  <sheetViews>
    <sheetView view="pageBreakPreview" topLeftCell="H1" zoomScaleNormal="75" zoomScaleSheetLayoutView="100" workbookViewId="0">
      <selection activeCell="Z29" sqref="Z29"/>
    </sheetView>
  </sheetViews>
  <sheetFormatPr defaultColWidth="9.140625" defaultRowHeight="12.75" x14ac:dyDescent="0.2"/>
  <cols>
    <col min="1" max="1" width="6.140625" style="23" customWidth="1"/>
    <col min="2" max="2" width="47.42578125" style="23" customWidth="1"/>
    <col min="3" max="3" width="6.5703125" style="24" customWidth="1"/>
    <col min="4" max="4" width="9.140625" style="23" customWidth="1"/>
    <col min="5" max="7" width="10.5703125" style="23" customWidth="1"/>
    <col min="8" max="8" width="8" style="23" customWidth="1"/>
    <col min="9" max="13" width="10.5703125" style="23" customWidth="1"/>
    <col min="14" max="14" width="9.140625" style="23" customWidth="1"/>
    <col min="15" max="17" width="10.5703125" style="23" customWidth="1"/>
    <col min="18" max="18" width="8" style="23" customWidth="1"/>
    <col min="19" max="24" width="0" style="23" hidden="1" customWidth="1"/>
    <col min="25" max="16384" width="9.140625" style="23"/>
  </cols>
  <sheetData>
    <row r="1" spans="1:22" ht="20.25" x14ac:dyDescent="0.3">
      <c r="B1" s="282" t="str">
        <f>П1.4!B1</f>
        <v>ОАО "КузбассЭлектро"</v>
      </c>
      <c r="C1" s="280"/>
    </row>
    <row r="2" spans="1:22" s="22" customFormat="1" ht="15.75" x14ac:dyDescent="0.25">
      <c r="A2" s="318" t="s">
        <v>277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22" t="s">
        <v>307</v>
      </c>
    </row>
    <row r="3" spans="1:22" ht="13.5" thickBot="1" x14ac:dyDescent="0.25"/>
    <row r="4" spans="1:22" s="25" customFormat="1" ht="15" x14ac:dyDescent="0.25">
      <c r="A4" s="320" t="s">
        <v>63</v>
      </c>
      <c r="B4" s="321" t="s">
        <v>64</v>
      </c>
      <c r="C4" s="323" t="s">
        <v>65</v>
      </c>
      <c r="D4" s="306" t="str">
        <f>П1.4!D4:H4</f>
        <v>1 полугодие 2018г.</v>
      </c>
      <c r="E4" s="307"/>
      <c r="F4" s="307"/>
      <c r="G4" s="307"/>
      <c r="H4" s="308"/>
      <c r="I4" s="306" t="str">
        <f>П1.4!I4:M4</f>
        <v>2 полугодие 2018г.</v>
      </c>
      <c r="J4" s="307"/>
      <c r="K4" s="307"/>
      <c r="L4" s="307"/>
      <c r="M4" s="308"/>
      <c r="N4" s="306" t="str">
        <f>П1.4!N4:R4</f>
        <v>2018 год</v>
      </c>
      <c r="O4" s="307"/>
      <c r="P4" s="307"/>
      <c r="Q4" s="307"/>
      <c r="R4" s="308"/>
    </row>
    <row r="5" spans="1:22" s="29" customFormat="1" x14ac:dyDescent="0.2">
      <c r="A5" s="320"/>
      <c r="B5" s="322"/>
      <c r="C5" s="324"/>
      <c r="D5" s="26" t="s">
        <v>0</v>
      </c>
      <c r="E5" s="27" t="s">
        <v>6</v>
      </c>
      <c r="F5" s="27" t="s">
        <v>7</v>
      </c>
      <c r="G5" s="27" t="s">
        <v>8</v>
      </c>
      <c r="H5" s="28" t="s">
        <v>9</v>
      </c>
      <c r="I5" s="26" t="s">
        <v>0</v>
      </c>
      <c r="J5" s="27" t="s">
        <v>6</v>
      </c>
      <c r="K5" s="27" t="s">
        <v>7</v>
      </c>
      <c r="L5" s="27" t="s">
        <v>8</v>
      </c>
      <c r="M5" s="28" t="s">
        <v>9</v>
      </c>
      <c r="N5" s="26" t="s">
        <v>0</v>
      </c>
      <c r="O5" s="27" t="s">
        <v>6</v>
      </c>
      <c r="P5" s="27" t="s">
        <v>7</v>
      </c>
      <c r="Q5" s="27" t="s">
        <v>8</v>
      </c>
      <c r="R5" s="28" t="s">
        <v>9</v>
      </c>
    </row>
    <row r="6" spans="1:22" s="29" customFormat="1" ht="13.5" thickBot="1" x14ac:dyDescent="0.25">
      <c r="A6" s="30">
        <v>1</v>
      </c>
      <c r="B6" s="31">
        <v>2</v>
      </c>
      <c r="C6" s="325"/>
      <c r="D6" s="32">
        <f>1</f>
        <v>1</v>
      </c>
      <c r="E6" s="33">
        <f>D6+1</f>
        <v>2</v>
      </c>
      <c r="F6" s="33">
        <f>E6+1</f>
        <v>3</v>
      </c>
      <c r="G6" s="33">
        <f>F6+1</f>
        <v>4</v>
      </c>
      <c r="H6" s="34">
        <f>G6+1</f>
        <v>5</v>
      </c>
      <c r="I6" s="32">
        <f>1</f>
        <v>1</v>
      </c>
      <c r="J6" s="33">
        <f>I6+1</f>
        <v>2</v>
      </c>
      <c r="K6" s="33">
        <f>J6+1</f>
        <v>3</v>
      </c>
      <c r="L6" s="33">
        <f>K6+1</f>
        <v>4</v>
      </c>
      <c r="M6" s="34">
        <f>L6+1</f>
        <v>5</v>
      </c>
      <c r="N6" s="32">
        <f>1</f>
        <v>1</v>
      </c>
      <c r="O6" s="33">
        <f>N6+1</f>
        <v>2</v>
      </c>
      <c r="P6" s="33">
        <f>O6+1</f>
        <v>3</v>
      </c>
      <c r="Q6" s="33">
        <f>P6+1</f>
        <v>4</v>
      </c>
      <c r="R6" s="34">
        <f>Q6+1</f>
        <v>5</v>
      </c>
    </row>
    <row r="7" spans="1:22" s="35" customFormat="1" x14ac:dyDescent="0.2">
      <c r="A7" s="249" t="s">
        <v>15</v>
      </c>
      <c r="B7" s="250" t="s">
        <v>92</v>
      </c>
      <c r="C7" s="251" t="s">
        <v>93</v>
      </c>
      <c r="D7" s="227">
        <f>D16</f>
        <v>95.244000000000014</v>
      </c>
      <c r="E7" s="227">
        <f t="shared" ref="E7" si="0">E12+E16</f>
        <v>84.162000000000006</v>
      </c>
      <c r="F7" s="227">
        <f>F11+F16</f>
        <v>56.762000000000015</v>
      </c>
      <c r="G7" s="227">
        <f>G12+G16</f>
        <v>2.9020000000000139</v>
      </c>
      <c r="H7" s="228"/>
      <c r="I7" s="227">
        <f>I16</f>
        <v>96.49499999999999</v>
      </c>
      <c r="J7" s="227">
        <f t="shared" ref="J7" si="1">J12+J16</f>
        <v>80.319999999999993</v>
      </c>
      <c r="K7" s="227">
        <f>K11+K16</f>
        <v>58.91399999999998</v>
      </c>
      <c r="L7" s="227">
        <f>L12+L16</f>
        <v>3.2459999999999782</v>
      </c>
      <c r="M7" s="228"/>
      <c r="N7" s="227">
        <f>N16</f>
        <v>95.869499999999988</v>
      </c>
      <c r="O7" s="227">
        <f t="shared" ref="O7" si="2">O12+O16</f>
        <v>82.241</v>
      </c>
      <c r="P7" s="227">
        <f>P11+P16+0.001</f>
        <v>57.838000000000008</v>
      </c>
      <c r="Q7" s="227">
        <f>Q12+Q16</f>
        <v>3.0740000000000109</v>
      </c>
      <c r="R7" s="228"/>
      <c r="S7" s="35">
        <f>(D7*6+I7*6)/12</f>
        <v>95.869500000000002</v>
      </c>
      <c r="T7" s="35">
        <f t="shared" ref="T7:V22" si="3">(E7*6+J7*6)/12</f>
        <v>82.241</v>
      </c>
      <c r="U7" s="35">
        <f t="shared" si="3"/>
        <v>57.838000000000001</v>
      </c>
      <c r="V7" s="35">
        <f t="shared" si="3"/>
        <v>3.0739999999999963</v>
      </c>
    </row>
    <row r="8" spans="1:22" s="35" customFormat="1" x14ac:dyDescent="0.2">
      <c r="A8" s="252" t="s">
        <v>2</v>
      </c>
      <c r="B8" s="253" t="s">
        <v>68</v>
      </c>
      <c r="C8" s="251" t="s">
        <v>93</v>
      </c>
      <c r="D8" s="41"/>
      <c r="E8" s="229"/>
      <c r="F8" s="229">
        <f>F11</f>
        <v>46.056000000000012</v>
      </c>
      <c r="G8" s="229">
        <f>G12</f>
        <v>2.526000000000014</v>
      </c>
      <c r="H8" s="230"/>
      <c r="I8" s="41"/>
      <c r="J8" s="229"/>
      <c r="K8" s="229">
        <f>K11</f>
        <v>43.04499999999998</v>
      </c>
      <c r="L8" s="229">
        <f>L12</f>
        <v>2.9399999999999782</v>
      </c>
      <c r="M8" s="230"/>
      <c r="N8" s="41"/>
      <c r="O8" s="229"/>
      <c r="P8" s="229">
        <f>P11</f>
        <v>44.549500000000009</v>
      </c>
      <c r="Q8" s="229">
        <f>Q12</f>
        <v>2.7330000000000108</v>
      </c>
      <c r="R8" s="230"/>
      <c r="S8" s="35">
        <f t="shared" ref="S8:S30" si="4">(D8*6+I8*6)/12</f>
        <v>0</v>
      </c>
      <c r="T8" s="35">
        <f t="shared" si="3"/>
        <v>0</v>
      </c>
      <c r="U8" s="35">
        <f t="shared" si="3"/>
        <v>44.5505</v>
      </c>
      <c r="V8" s="35">
        <f t="shared" si="3"/>
        <v>2.7329999999999957</v>
      </c>
    </row>
    <row r="9" spans="1:22" x14ac:dyDescent="0.2">
      <c r="A9" s="254"/>
      <c r="B9" s="255" t="s">
        <v>69</v>
      </c>
      <c r="C9" s="256"/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5">
        <f t="shared" si="4"/>
        <v>0</v>
      </c>
      <c r="T9" s="35">
        <f t="shared" si="3"/>
        <v>0</v>
      </c>
      <c r="U9" s="35">
        <f t="shared" si="3"/>
        <v>0</v>
      </c>
      <c r="V9" s="35">
        <f t="shared" si="3"/>
        <v>0</v>
      </c>
    </row>
    <row r="10" spans="1:22" x14ac:dyDescent="0.2">
      <c r="A10" s="254"/>
      <c r="B10" s="255" t="s">
        <v>70</v>
      </c>
      <c r="C10" s="256" t="s">
        <v>93</v>
      </c>
      <c r="D10" s="36"/>
      <c r="E10" s="39"/>
      <c r="F10" s="39"/>
      <c r="G10" s="39"/>
      <c r="H10" s="40"/>
      <c r="I10" s="36"/>
      <c r="J10" s="39"/>
      <c r="K10" s="39"/>
      <c r="L10" s="39"/>
      <c r="M10" s="40"/>
      <c r="N10" s="36"/>
      <c r="O10" s="39"/>
      <c r="P10" s="39"/>
      <c r="Q10" s="39"/>
      <c r="R10" s="40"/>
      <c r="S10" s="35">
        <f t="shared" si="4"/>
        <v>0</v>
      </c>
      <c r="T10" s="35">
        <f t="shared" si="3"/>
        <v>0</v>
      </c>
      <c r="U10" s="35">
        <f t="shared" si="3"/>
        <v>0</v>
      </c>
      <c r="V10" s="35">
        <f t="shared" si="3"/>
        <v>0</v>
      </c>
    </row>
    <row r="11" spans="1:22" x14ac:dyDescent="0.2">
      <c r="A11" s="254"/>
      <c r="B11" s="255" t="s">
        <v>6</v>
      </c>
      <c r="C11" s="256" t="s">
        <v>93</v>
      </c>
      <c r="D11" s="36"/>
      <c r="E11" s="257"/>
      <c r="F11" s="39">
        <f>E16-E17-E23-E27-E30</f>
        <v>46.056000000000012</v>
      </c>
      <c r="G11" s="39"/>
      <c r="H11" s="40"/>
      <c r="I11" s="36"/>
      <c r="J11" s="257"/>
      <c r="K11" s="39">
        <f>J16-J17-J23-J27-J30</f>
        <v>43.04499999999998</v>
      </c>
      <c r="L11" s="39"/>
      <c r="M11" s="40"/>
      <c r="N11" s="36"/>
      <c r="O11" s="257"/>
      <c r="P11" s="39">
        <f>O16-O17-O23-O27-O30-0.001</f>
        <v>44.549500000000009</v>
      </c>
      <c r="Q11" s="39"/>
      <c r="R11" s="40"/>
      <c r="S11" s="35">
        <f t="shared" si="4"/>
        <v>0</v>
      </c>
      <c r="T11" s="35">
        <f t="shared" si="3"/>
        <v>0</v>
      </c>
      <c r="U11" s="35">
        <f t="shared" si="3"/>
        <v>44.5505</v>
      </c>
      <c r="V11" s="35">
        <f t="shared" si="3"/>
        <v>0</v>
      </c>
    </row>
    <row r="12" spans="1:22" x14ac:dyDescent="0.2">
      <c r="A12" s="254"/>
      <c r="B12" s="255" t="s">
        <v>7</v>
      </c>
      <c r="C12" s="256" t="s">
        <v>93</v>
      </c>
      <c r="D12" s="36"/>
      <c r="E12" s="257"/>
      <c r="F12" s="257"/>
      <c r="G12" s="39">
        <f>F7-F17-F27-F30</f>
        <v>2.526000000000014</v>
      </c>
      <c r="H12" s="40"/>
      <c r="I12" s="36"/>
      <c r="J12" s="257"/>
      <c r="K12" s="257"/>
      <c r="L12" s="39">
        <f>K7-K17-K27-K30</f>
        <v>2.9399999999999782</v>
      </c>
      <c r="M12" s="40"/>
      <c r="N12" s="36"/>
      <c r="O12" s="257"/>
      <c r="P12" s="257"/>
      <c r="Q12" s="39">
        <f>P7-P17-P27-P30-0.001</f>
        <v>2.7330000000000108</v>
      </c>
      <c r="R12" s="40"/>
      <c r="S12" s="35">
        <f t="shared" si="4"/>
        <v>0</v>
      </c>
      <c r="T12" s="35">
        <f t="shared" si="3"/>
        <v>0</v>
      </c>
      <c r="U12" s="35">
        <f t="shared" si="3"/>
        <v>0</v>
      </c>
      <c r="V12" s="35">
        <f t="shared" si="3"/>
        <v>2.7329999999999957</v>
      </c>
    </row>
    <row r="13" spans="1:22" x14ac:dyDescent="0.2">
      <c r="A13" s="254"/>
      <c r="B13" s="255" t="s">
        <v>8</v>
      </c>
      <c r="C13" s="256" t="s">
        <v>93</v>
      </c>
      <c r="D13" s="36"/>
      <c r="E13" s="257"/>
      <c r="F13" s="257"/>
      <c r="G13" s="257"/>
      <c r="H13" s="40"/>
      <c r="I13" s="36"/>
      <c r="J13" s="257"/>
      <c r="K13" s="257"/>
      <c r="L13" s="257"/>
      <c r="M13" s="40"/>
      <c r="N13" s="36"/>
      <c r="O13" s="257"/>
      <c r="P13" s="257"/>
      <c r="Q13" s="257"/>
      <c r="R13" s="40"/>
      <c r="S13" s="35">
        <f t="shared" si="4"/>
        <v>0</v>
      </c>
      <c r="T13" s="35">
        <f t="shared" si="3"/>
        <v>0</v>
      </c>
      <c r="U13" s="35">
        <f t="shared" si="3"/>
        <v>0</v>
      </c>
      <c r="V13" s="35">
        <f t="shared" si="3"/>
        <v>0</v>
      </c>
    </row>
    <row r="14" spans="1:22" ht="15" x14ac:dyDescent="0.2">
      <c r="A14" s="254" t="s">
        <v>3</v>
      </c>
      <c r="B14" s="242" t="s">
        <v>94</v>
      </c>
      <c r="C14" s="256" t="s">
        <v>93</v>
      </c>
      <c r="D14" s="41"/>
      <c r="E14" s="39"/>
      <c r="F14" s="39"/>
      <c r="G14" s="39"/>
      <c r="H14" s="40"/>
      <c r="I14" s="41"/>
      <c r="J14" s="39"/>
      <c r="K14" s="39"/>
      <c r="L14" s="39"/>
      <c r="M14" s="40"/>
      <c r="N14" s="41"/>
      <c r="O14" s="39"/>
      <c r="P14" s="39"/>
      <c r="Q14" s="39"/>
      <c r="R14" s="40"/>
      <c r="S14" s="35">
        <f t="shared" si="4"/>
        <v>0</v>
      </c>
      <c r="T14" s="35">
        <f t="shared" si="3"/>
        <v>0</v>
      </c>
      <c r="U14" s="35">
        <f t="shared" si="3"/>
        <v>0</v>
      </c>
      <c r="V14" s="35">
        <f t="shared" si="3"/>
        <v>0</v>
      </c>
    </row>
    <row r="15" spans="1:22" ht="15" x14ac:dyDescent="0.2">
      <c r="A15" s="254" t="s">
        <v>4</v>
      </c>
      <c r="B15" s="242" t="s">
        <v>13</v>
      </c>
      <c r="C15" s="256" t="s">
        <v>93</v>
      </c>
      <c r="D15" s="41"/>
      <c r="E15" s="39"/>
      <c r="F15" s="39"/>
      <c r="G15" s="39"/>
      <c r="H15" s="40"/>
      <c r="I15" s="41"/>
      <c r="J15" s="39"/>
      <c r="K15" s="39"/>
      <c r="L15" s="39"/>
      <c r="M15" s="40"/>
      <c r="N15" s="41"/>
      <c r="O15" s="39"/>
      <c r="P15" s="39"/>
      <c r="Q15" s="39"/>
      <c r="R15" s="40"/>
      <c r="S15" s="35">
        <f t="shared" si="4"/>
        <v>0</v>
      </c>
      <c r="T15" s="35">
        <f t="shared" si="3"/>
        <v>0</v>
      </c>
      <c r="U15" s="35">
        <f t="shared" si="3"/>
        <v>0</v>
      </c>
      <c r="V15" s="35">
        <f t="shared" si="3"/>
        <v>0</v>
      </c>
    </row>
    <row r="16" spans="1:22" ht="15" x14ac:dyDescent="0.2">
      <c r="A16" s="254" t="s">
        <v>5</v>
      </c>
      <c r="B16" s="242" t="s">
        <v>95</v>
      </c>
      <c r="C16" s="256" t="s">
        <v>93</v>
      </c>
      <c r="D16" s="41">
        <f>E16+F16+G16</f>
        <v>95.244000000000014</v>
      </c>
      <c r="E16" s="39">
        <v>84.162000000000006</v>
      </c>
      <c r="F16" s="39">
        <v>10.706</v>
      </c>
      <c r="G16" s="39">
        <v>0.376</v>
      </c>
      <c r="H16" s="40"/>
      <c r="I16" s="41">
        <f>J16+K16+L16</f>
        <v>96.49499999999999</v>
      </c>
      <c r="J16" s="39">
        <v>80.319999999999993</v>
      </c>
      <c r="K16" s="39">
        <v>15.869</v>
      </c>
      <c r="L16" s="39">
        <v>0.30599999999999999</v>
      </c>
      <c r="M16" s="40"/>
      <c r="N16" s="41">
        <f>O16+P16+Q16</f>
        <v>95.869499999999988</v>
      </c>
      <c r="O16" s="39">
        <f>(E16*6+J16*6)/12</f>
        <v>82.241</v>
      </c>
      <c r="P16" s="39">
        <f t="shared" ref="P16:Q16" si="5">(F16*6+K16*6)/12</f>
        <v>13.2875</v>
      </c>
      <c r="Q16" s="39">
        <f t="shared" si="5"/>
        <v>0.34100000000000003</v>
      </c>
      <c r="R16" s="40"/>
      <c r="S16" s="35">
        <f t="shared" si="4"/>
        <v>95.869500000000002</v>
      </c>
      <c r="T16" s="35">
        <f t="shared" si="3"/>
        <v>82.241</v>
      </c>
      <c r="U16" s="35">
        <f t="shared" si="3"/>
        <v>13.2875</v>
      </c>
      <c r="V16" s="35">
        <f t="shared" si="3"/>
        <v>0.34100000000000003</v>
      </c>
    </row>
    <row r="17" spans="1:22" ht="15" x14ac:dyDescent="0.2">
      <c r="A17" s="254" t="s">
        <v>19</v>
      </c>
      <c r="B17" s="242" t="s">
        <v>96</v>
      </c>
      <c r="C17" s="256" t="s">
        <v>93</v>
      </c>
      <c r="D17" s="41">
        <f>E17+F17+G17</f>
        <v>2.0670000000000002</v>
      </c>
      <c r="E17" s="39">
        <v>1.8</v>
      </c>
      <c r="F17" s="39">
        <v>0.26400000000000001</v>
      </c>
      <c r="G17" s="39">
        <v>3.0000000000000001E-3</v>
      </c>
      <c r="H17" s="40"/>
      <c r="I17" s="41">
        <f>J17+K17+L17</f>
        <v>1.97</v>
      </c>
      <c r="J17" s="39">
        <v>1.7569999999999999</v>
      </c>
      <c r="K17" s="39">
        <v>0.20699999999999999</v>
      </c>
      <c r="L17" s="39">
        <v>6.0000000000000001E-3</v>
      </c>
      <c r="M17" s="40"/>
      <c r="N17" s="41">
        <f>O17+P17+Q17+0.001</f>
        <v>2.0174999999999996</v>
      </c>
      <c r="O17" s="39">
        <f>(E17*6+J17*6)/12</f>
        <v>1.7785</v>
      </c>
      <c r="P17" s="39">
        <f>(F17*6+K17*6)/12-0.001</f>
        <v>0.23450000000000001</v>
      </c>
      <c r="Q17" s="39">
        <f>(G17*6+L17*6)/12-0.001</f>
        <v>3.5000000000000005E-3</v>
      </c>
      <c r="R17" s="40"/>
      <c r="S17" s="35">
        <f t="shared" si="4"/>
        <v>2.0185</v>
      </c>
      <c r="T17" s="35">
        <f t="shared" si="3"/>
        <v>1.7785</v>
      </c>
      <c r="U17" s="35">
        <f t="shared" si="3"/>
        <v>0.23550000000000001</v>
      </c>
      <c r="V17" s="35">
        <f t="shared" si="3"/>
        <v>4.5000000000000005E-3</v>
      </c>
    </row>
    <row r="18" spans="1:22" ht="15" x14ac:dyDescent="0.2">
      <c r="A18" s="254"/>
      <c r="B18" s="242" t="s">
        <v>97</v>
      </c>
      <c r="C18" s="256" t="s">
        <v>1</v>
      </c>
      <c r="D18" s="290">
        <f>D17/D16*100</f>
        <v>2.1702154466423083</v>
      </c>
      <c r="E18" s="290">
        <f>E17/E16*100</f>
        <v>2.1387324445711844</v>
      </c>
      <c r="F18" s="290">
        <f>F17/F7*100</f>
        <v>0.46509989077199521</v>
      </c>
      <c r="G18" s="290">
        <f>G17/G7*100</f>
        <v>0.10337698139214287</v>
      </c>
      <c r="H18" s="230"/>
      <c r="I18" s="290">
        <f>I17/I16*100</f>
        <v>2.0415565573345771</v>
      </c>
      <c r="J18" s="290">
        <f>J17/J16*100</f>
        <v>2.1875</v>
      </c>
      <c r="K18" s="290">
        <f>K17/K7*100</f>
        <v>0.35135960892147888</v>
      </c>
      <c r="L18" s="290">
        <f>L17/L7*100</f>
        <v>0.18484288354898459</v>
      </c>
      <c r="M18" s="230"/>
      <c r="N18" s="290">
        <f>N17/N16*100</f>
        <v>2.1044232002878913</v>
      </c>
      <c r="O18" s="290">
        <f>O17/O16*100</f>
        <v>2.1625466616407873</v>
      </c>
      <c r="P18" s="290">
        <f>P17/P7*100</f>
        <v>0.40544278847816312</v>
      </c>
      <c r="Q18" s="290">
        <f>Q17/Q7*100</f>
        <v>0.11385816525699376</v>
      </c>
      <c r="R18" s="230"/>
      <c r="S18" s="35">
        <f t="shared" si="4"/>
        <v>2.1058860019884427</v>
      </c>
      <c r="T18" s="35">
        <f t="shared" si="3"/>
        <v>2.1631162222855922</v>
      </c>
      <c r="U18" s="35">
        <f t="shared" si="3"/>
        <v>0.40822974984673704</v>
      </c>
      <c r="V18" s="35">
        <f t="shared" si="3"/>
        <v>0.14410993247056372</v>
      </c>
    </row>
    <row r="19" spans="1:22" s="4" customFormat="1" ht="15" x14ac:dyDescent="0.25">
      <c r="A19" s="246" t="s">
        <v>77</v>
      </c>
      <c r="B19" s="242" t="s">
        <v>78</v>
      </c>
      <c r="C19" s="256" t="s">
        <v>93</v>
      </c>
      <c r="D19" s="41"/>
      <c r="E19" s="39"/>
      <c r="F19" s="39"/>
      <c r="G19" s="39"/>
      <c r="H19" s="40"/>
      <c r="I19" s="41"/>
      <c r="J19" s="39"/>
      <c r="K19" s="39"/>
      <c r="L19" s="39"/>
      <c r="M19" s="40"/>
      <c r="N19" s="41"/>
      <c r="O19" s="39"/>
      <c r="P19" s="39"/>
      <c r="Q19" s="39"/>
      <c r="R19" s="40"/>
      <c r="S19" s="35">
        <f t="shared" si="4"/>
        <v>0</v>
      </c>
      <c r="T19" s="35">
        <f t="shared" si="3"/>
        <v>0</v>
      </c>
      <c r="U19" s="35">
        <f t="shared" si="3"/>
        <v>0</v>
      </c>
      <c r="V19" s="35">
        <f t="shared" si="3"/>
        <v>0</v>
      </c>
    </row>
    <row r="20" spans="1:22" s="4" customFormat="1" ht="30" x14ac:dyDescent="0.25">
      <c r="A20" s="246" t="s">
        <v>79</v>
      </c>
      <c r="B20" s="242" t="s">
        <v>80</v>
      </c>
      <c r="C20" s="256" t="s">
        <v>93</v>
      </c>
      <c r="D20" s="41"/>
      <c r="E20" s="39"/>
      <c r="F20" s="39"/>
      <c r="G20" s="39"/>
      <c r="H20" s="40"/>
      <c r="I20" s="41"/>
      <c r="J20" s="39"/>
      <c r="K20" s="39"/>
      <c r="L20" s="39"/>
      <c r="M20" s="40"/>
      <c r="N20" s="41"/>
      <c r="O20" s="39"/>
      <c r="P20" s="39"/>
      <c r="Q20" s="39"/>
      <c r="R20" s="40"/>
      <c r="S20" s="35">
        <f t="shared" si="4"/>
        <v>0</v>
      </c>
      <c r="T20" s="35">
        <f t="shared" si="3"/>
        <v>0</v>
      </c>
      <c r="U20" s="35">
        <f t="shared" si="3"/>
        <v>0</v>
      </c>
      <c r="V20" s="35">
        <f t="shared" si="3"/>
        <v>0</v>
      </c>
    </row>
    <row r="21" spans="1:22" s="4" customFormat="1" ht="15" x14ac:dyDescent="0.25">
      <c r="A21" s="246" t="s">
        <v>81</v>
      </c>
      <c r="B21" s="242" t="s">
        <v>82</v>
      </c>
      <c r="C21" s="256" t="s">
        <v>93</v>
      </c>
      <c r="D21" s="41">
        <f>E21+F21+G21</f>
        <v>2.0670000000000002</v>
      </c>
      <c r="E21" s="39">
        <f>E17</f>
        <v>1.8</v>
      </c>
      <c r="F21" s="39">
        <f t="shared" ref="F21:G21" si="6">F17</f>
        <v>0.26400000000000001</v>
      </c>
      <c r="G21" s="39">
        <f t="shared" si="6"/>
        <v>3.0000000000000001E-3</v>
      </c>
      <c r="H21" s="40"/>
      <c r="I21" s="41">
        <f>J21+K21+L21</f>
        <v>1.97</v>
      </c>
      <c r="J21" s="39">
        <f>J17</f>
        <v>1.7569999999999999</v>
      </c>
      <c r="K21" s="39">
        <f t="shared" ref="K21:L21" si="7">K17</f>
        <v>0.20699999999999999</v>
      </c>
      <c r="L21" s="39">
        <f t="shared" si="7"/>
        <v>6.0000000000000001E-3</v>
      </c>
      <c r="M21" s="40"/>
      <c r="N21" s="41">
        <f>O21+P21+Q21</f>
        <v>2.0164999999999997</v>
      </c>
      <c r="O21" s="39">
        <f>O17</f>
        <v>1.7785</v>
      </c>
      <c r="P21" s="39">
        <f t="shared" ref="P21:Q21" si="8">P17</f>
        <v>0.23450000000000001</v>
      </c>
      <c r="Q21" s="39">
        <f t="shared" si="8"/>
        <v>3.5000000000000005E-3</v>
      </c>
      <c r="R21" s="40"/>
      <c r="S21" s="35">
        <f t="shared" si="4"/>
        <v>2.0185</v>
      </c>
      <c r="T21" s="35">
        <f t="shared" si="3"/>
        <v>1.7785</v>
      </c>
      <c r="U21" s="35">
        <f t="shared" si="3"/>
        <v>0.23550000000000001</v>
      </c>
      <c r="V21" s="35">
        <f t="shared" si="3"/>
        <v>4.5000000000000005E-3</v>
      </c>
    </row>
    <row r="22" spans="1:22" s="4" customFormat="1" ht="30" x14ac:dyDescent="0.25">
      <c r="A22" s="246" t="s">
        <v>83</v>
      </c>
      <c r="B22" s="242" t="s">
        <v>279</v>
      </c>
      <c r="C22" s="256" t="s">
        <v>93</v>
      </c>
      <c r="D22" s="41">
        <f>E22+F22+G22</f>
        <v>2.0670000000000002</v>
      </c>
      <c r="E22" s="39">
        <f>E21</f>
        <v>1.8</v>
      </c>
      <c r="F22" s="39">
        <f t="shared" ref="F22:G22" si="9">F21</f>
        <v>0.26400000000000001</v>
      </c>
      <c r="G22" s="39">
        <f t="shared" si="9"/>
        <v>3.0000000000000001E-3</v>
      </c>
      <c r="H22" s="40"/>
      <c r="I22" s="41">
        <f>J22+K22+L22</f>
        <v>1.97</v>
      </c>
      <c r="J22" s="39">
        <f>J21</f>
        <v>1.7569999999999999</v>
      </c>
      <c r="K22" s="39">
        <f t="shared" ref="K22:L22" si="10">K21</f>
        <v>0.20699999999999999</v>
      </c>
      <c r="L22" s="39">
        <f t="shared" si="10"/>
        <v>6.0000000000000001E-3</v>
      </c>
      <c r="M22" s="40"/>
      <c r="N22" s="41">
        <f>O22+P22+Q22</f>
        <v>2.0164999999999997</v>
      </c>
      <c r="O22" s="39">
        <f>O21</f>
        <v>1.7785</v>
      </c>
      <c r="P22" s="39">
        <f t="shared" ref="P22:Q22" si="11">P21</f>
        <v>0.23450000000000001</v>
      </c>
      <c r="Q22" s="39">
        <f t="shared" si="11"/>
        <v>3.5000000000000005E-3</v>
      </c>
      <c r="R22" s="40"/>
      <c r="S22" s="35">
        <f t="shared" si="4"/>
        <v>2.0185</v>
      </c>
      <c r="T22" s="35">
        <f t="shared" si="3"/>
        <v>1.7785</v>
      </c>
      <c r="U22" s="35">
        <f t="shared" si="3"/>
        <v>0.23550000000000001</v>
      </c>
      <c r="V22" s="35">
        <f t="shared" si="3"/>
        <v>4.5000000000000005E-3</v>
      </c>
    </row>
    <row r="23" spans="1:22" ht="15" customHeight="1" x14ac:dyDescent="0.2">
      <c r="A23" s="254" t="s">
        <v>21</v>
      </c>
      <c r="B23" s="258" t="s">
        <v>98</v>
      </c>
      <c r="C23" s="256" t="s">
        <v>93</v>
      </c>
      <c r="D23" s="41">
        <f>E23+F23+G23</f>
        <v>0.113</v>
      </c>
      <c r="E23" s="39">
        <v>0.03</v>
      </c>
      <c r="F23" s="39"/>
      <c r="G23" s="39">
        <v>8.3000000000000004E-2</v>
      </c>
      <c r="H23" s="40"/>
      <c r="I23" s="41">
        <f>J23+K23+L23</f>
        <v>0.09</v>
      </c>
      <c r="J23" s="39">
        <v>0.04</v>
      </c>
      <c r="K23" s="39"/>
      <c r="L23" s="39">
        <v>0.05</v>
      </c>
      <c r="M23" s="40"/>
      <c r="N23" s="41">
        <f>O23+P23+Q23</f>
        <v>0.10050000000000001</v>
      </c>
      <c r="O23" s="39">
        <f>(E23*6+J23*6)/12</f>
        <v>3.4999999999999996E-2</v>
      </c>
      <c r="P23" s="39"/>
      <c r="Q23" s="39">
        <f>(G23*6+L23*6)/12-0.001</f>
        <v>6.5500000000000003E-2</v>
      </c>
      <c r="R23" s="40"/>
      <c r="S23" s="35">
        <f t="shared" si="4"/>
        <v>0.10149999999999999</v>
      </c>
      <c r="T23" s="35">
        <f t="shared" ref="T23:T30" si="12">(E23*6+J23*6)/12</f>
        <v>3.4999999999999996E-2</v>
      </c>
      <c r="U23" s="35">
        <f t="shared" ref="U23:U30" si="13">(F23*6+K23*6)/12</f>
        <v>0</v>
      </c>
      <c r="V23" s="35">
        <f t="shared" ref="V23:V30" si="14">(G23*6+L23*6)/12</f>
        <v>6.6500000000000004E-2</v>
      </c>
    </row>
    <row r="24" spans="1:22" ht="15" x14ac:dyDescent="0.2">
      <c r="A24" s="254" t="s">
        <v>22</v>
      </c>
      <c r="B24" s="242" t="s">
        <v>99</v>
      </c>
      <c r="C24" s="256" t="s">
        <v>93</v>
      </c>
      <c r="D24" s="41">
        <f t="shared" ref="D24:D30" si="15">E24+F24+G24</f>
        <v>93.063999999999993</v>
      </c>
      <c r="E24" s="229">
        <f>E27+E30</f>
        <v>36.275999999999996</v>
      </c>
      <c r="F24" s="229">
        <f>F27+F30</f>
        <v>53.971999999999994</v>
      </c>
      <c r="G24" s="229">
        <f t="shared" ref="G24" si="16">G27+G30</f>
        <v>2.8160000000000003</v>
      </c>
      <c r="H24" s="230"/>
      <c r="I24" s="41">
        <f t="shared" ref="I24:I25" si="17">J24+K24+L24</f>
        <v>94.435000000000002</v>
      </c>
      <c r="J24" s="229">
        <f>J27+J30</f>
        <v>35.478000000000002</v>
      </c>
      <c r="K24" s="229">
        <f t="shared" ref="K24:L24" si="18">K27+K30</f>
        <v>55.767000000000003</v>
      </c>
      <c r="L24" s="229">
        <f t="shared" si="18"/>
        <v>3.19</v>
      </c>
      <c r="M24" s="230"/>
      <c r="N24" s="41">
        <f t="shared" ref="N24" si="19">O24+P24+Q24</f>
        <v>93.750500000000002</v>
      </c>
      <c r="O24" s="229">
        <f>O27+O30</f>
        <v>35.877000000000002</v>
      </c>
      <c r="P24" s="229">
        <f>P27+P30</f>
        <v>54.869500000000002</v>
      </c>
      <c r="Q24" s="229">
        <f>Q27+Q30+0.001</f>
        <v>3.0040000000000004</v>
      </c>
      <c r="R24" s="230"/>
      <c r="S24" s="35">
        <f t="shared" si="4"/>
        <v>93.749500000000012</v>
      </c>
      <c r="T24" s="35">
        <f t="shared" si="12"/>
        <v>35.877000000000002</v>
      </c>
      <c r="U24" s="35">
        <f t="shared" si="13"/>
        <v>54.869499999999995</v>
      </c>
      <c r="V24" s="35">
        <f t="shared" si="14"/>
        <v>3.0030000000000001</v>
      </c>
    </row>
    <row r="25" spans="1:22" ht="15" x14ac:dyDescent="0.2">
      <c r="A25" s="254" t="s">
        <v>10</v>
      </c>
      <c r="B25" s="242" t="s">
        <v>86</v>
      </c>
      <c r="C25" s="256" t="s">
        <v>93</v>
      </c>
      <c r="D25" s="41">
        <f t="shared" si="15"/>
        <v>93.063999999999993</v>
      </c>
      <c r="E25" s="229">
        <f>П1.6!I39</f>
        <v>36.275999999999996</v>
      </c>
      <c r="F25" s="229">
        <f>П1.6!J39</f>
        <v>53.971999999999994</v>
      </c>
      <c r="G25" s="229">
        <f>П1.6!K39</f>
        <v>2.8159999999999998</v>
      </c>
      <c r="H25" s="229"/>
      <c r="I25" s="41">
        <f t="shared" si="17"/>
        <v>94.434999999999988</v>
      </c>
      <c r="J25" s="229">
        <f>П1.6!I79</f>
        <v>35.478000000000002</v>
      </c>
      <c r="K25" s="229">
        <f>П1.6!J79</f>
        <v>55.766999999999989</v>
      </c>
      <c r="L25" s="229">
        <f>П1.6!K79</f>
        <v>3.19</v>
      </c>
      <c r="M25" s="229"/>
      <c r="N25" s="41">
        <f>O25+P25+Q25</f>
        <v>93.750999999999991</v>
      </c>
      <c r="O25" s="229">
        <f>П1.6!I119</f>
        <v>35.877000000000002</v>
      </c>
      <c r="P25" s="229">
        <f>П1.6!J119</f>
        <v>54.86999999999999</v>
      </c>
      <c r="Q25" s="229">
        <f>П1.6!K119</f>
        <v>3.004</v>
      </c>
      <c r="R25" s="229"/>
      <c r="S25" s="35">
        <f t="shared" si="4"/>
        <v>93.749499999999998</v>
      </c>
      <c r="T25" s="35">
        <f t="shared" si="12"/>
        <v>35.877000000000002</v>
      </c>
      <c r="U25" s="35">
        <f t="shared" si="13"/>
        <v>54.869499999999995</v>
      </c>
      <c r="V25" s="35">
        <f t="shared" si="14"/>
        <v>3.0030000000000001</v>
      </c>
    </row>
    <row r="26" spans="1:22" ht="15" x14ac:dyDescent="0.2">
      <c r="A26" s="254"/>
      <c r="B26" s="242" t="s">
        <v>87</v>
      </c>
      <c r="C26" s="256" t="s">
        <v>93</v>
      </c>
      <c r="D26" s="36"/>
      <c r="E26" s="37"/>
      <c r="F26" s="37"/>
      <c r="G26" s="37"/>
      <c r="H26" s="38"/>
      <c r="I26" s="36"/>
      <c r="J26" s="37"/>
      <c r="K26" s="37"/>
      <c r="L26" s="37"/>
      <c r="M26" s="38"/>
      <c r="N26" s="36"/>
      <c r="O26" s="37"/>
      <c r="P26" s="37"/>
      <c r="Q26" s="37"/>
      <c r="R26" s="38"/>
      <c r="S26" s="35">
        <f t="shared" si="4"/>
        <v>0</v>
      </c>
      <c r="T26" s="35">
        <f t="shared" si="12"/>
        <v>0</v>
      </c>
      <c r="U26" s="35">
        <f t="shared" si="13"/>
        <v>0</v>
      </c>
      <c r="V26" s="35">
        <f t="shared" si="14"/>
        <v>0</v>
      </c>
    </row>
    <row r="27" spans="1:22" ht="15.75" customHeight="1" x14ac:dyDescent="0.2">
      <c r="A27" s="254"/>
      <c r="B27" s="247" t="s">
        <v>100</v>
      </c>
      <c r="C27" s="256" t="s">
        <v>93</v>
      </c>
      <c r="D27" s="41">
        <f>E27+F27+G27</f>
        <v>80.147999999999996</v>
      </c>
      <c r="E27" s="39">
        <v>36.238</v>
      </c>
      <c r="F27" s="39">
        <v>41.104999999999997</v>
      </c>
      <c r="G27" s="39">
        <v>2.8050000000000002</v>
      </c>
      <c r="H27" s="40"/>
      <c r="I27" s="41">
        <f t="shared" ref="I27" si="20">J27+K27+L27</f>
        <v>82.609000000000009</v>
      </c>
      <c r="J27" s="39">
        <v>35.478000000000002</v>
      </c>
      <c r="K27" s="39">
        <v>43.963000000000001</v>
      </c>
      <c r="L27" s="39">
        <v>3.1680000000000001</v>
      </c>
      <c r="M27" s="40"/>
      <c r="N27" s="41">
        <f>O27+P27+Q27</f>
        <v>81.378499999999988</v>
      </c>
      <c r="O27" s="39">
        <f>(E27*6+J27*6)/12-0.001</f>
        <v>35.856999999999999</v>
      </c>
      <c r="P27" s="39">
        <f t="shared" ref="P27" si="21">(F27*6+K27*6)/12</f>
        <v>42.533999999999999</v>
      </c>
      <c r="Q27" s="39">
        <f>(G27*6+L27*6)/12+0.001</f>
        <v>2.9875000000000007</v>
      </c>
      <c r="R27" s="40"/>
      <c r="S27" s="35">
        <f t="shared" si="4"/>
        <v>81.378500000000003</v>
      </c>
      <c r="T27" s="35">
        <f t="shared" si="12"/>
        <v>35.857999999999997</v>
      </c>
      <c r="U27" s="35">
        <f t="shared" si="13"/>
        <v>42.533999999999999</v>
      </c>
      <c r="V27" s="35">
        <f t="shared" si="14"/>
        <v>2.9865000000000008</v>
      </c>
    </row>
    <row r="28" spans="1:22" ht="30" x14ac:dyDescent="0.2">
      <c r="A28" s="254"/>
      <c r="B28" s="242" t="s">
        <v>101</v>
      </c>
      <c r="C28" s="256" t="s">
        <v>93</v>
      </c>
      <c r="D28" s="41"/>
      <c r="E28" s="39"/>
      <c r="F28" s="39"/>
      <c r="G28" s="39"/>
      <c r="H28" s="40"/>
      <c r="I28" s="41"/>
      <c r="J28" s="39"/>
      <c r="K28" s="39"/>
      <c r="L28" s="39"/>
      <c r="M28" s="40"/>
      <c r="N28" s="41"/>
      <c r="O28" s="39"/>
      <c r="P28" s="39"/>
      <c r="Q28" s="39"/>
      <c r="R28" s="40"/>
      <c r="S28" s="35">
        <f t="shared" si="4"/>
        <v>0</v>
      </c>
      <c r="T28" s="35">
        <f t="shared" si="12"/>
        <v>0</v>
      </c>
      <c r="U28" s="35">
        <f t="shared" si="13"/>
        <v>0</v>
      </c>
      <c r="V28" s="35">
        <f t="shared" si="14"/>
        <v>0</v>
      </c>
    </row>
    <row r="29" spans="1:22" ht="17.25" customHeight="1" x14ac:dyDescent="0.2">
      <c r="A29" s="254"/>
      <c r="B29" s="247" t="s">
        <v>102</v>
      </c>
      <c r="C29" s="256" t="s">
        <v>93</v>
      </c>
      <c r="D29" s="41"/>
      <c r="E29" s="39"/>
      <c r="F29" s="39"/>
      <c r="G29" s="39"/>
      <c r="H29" s="40"/>
      <c r="I29" s="41"/>
      <c r="J29" s="39"/>
      <c r="K29" s="39"/>
      <c r="L29" s="39"/>
      <c r="M29" s="40"/>
      <c r="N29" s="41"/>
      <c r="O29" s="39"/>
      <c r="P29" s="39"/>
      <c r="Q29" s="39"/>
      <c r="R29" s="40"/>
      <c r="S29" s="35">
        <f t="shared" si="4"/>
        <v>0</v>
      </c>
      <c r="T29" s="35">
        <f t="shared" si="12"/>
        <v>0</v>
      </c>
      <c r="U29" s="35">
        <f t="shared" si="13"/>
        <v>0</v>
      </c>
      <c r="V29" s="35">
        <f t="shared" si="14"/>
        <v>0</v>
      </c>
    </row>
    <row r="30" spans="1:22" ht="17.25" customHeight="1" x14ac:dyDescent="0.2">
      <c r="A30" s="254" t="s">
        <v>11</v>
      </c>
      <c r="B30" s="242" t="s">
        <v>90</v>
      </c>
      <c r="C30" s="256" t="s">
        <v>93</v>
      </c>
      <c r="D30" s="41">
        <f t="shared" si="15"/>
        <v>12.916</v>
      </c>
      <c r="E30" s="39">
        <v>3.7999999999999999E-2</v>
      </c>
      <c r="F30" s="39">
        <v>12.867000000000001</v>
      </c>
      <c r="G30" s="39">
        <v>1.0999999999999999E-2</v>
      </c>
      <c r="H30" s="40"/>
      <c r="I30" s="41">
        <f t="shared" ref="I30" si="22">J30+K30+L30</f>
        <v>11.826000000000001</v>
      </c>
      <c r="J30" s="39">
        <v>0</v>
      </c>
      <c r="K30" s="39">
        <v>11.804</v>
      </c>
      <c r="L30" s="39">
        <v>2.1999999999999999E-2</v>
      </c>
      <c r="M30" s="40"/>
      <c r="N30" s="41">
        <f>O30+P30+Q30+0.001</f>
        <v>12.372</v>
      </c>
      <c r="O30" s="39">
        <f>(E30*6+J30*6)/12+0.001</f>
        <v>0.02</v>
      </c>
      <c r="P30" s="39">
        <f>(F30*6+K30*6)/12</f>
        <v>12.335500000000001</v>
      </c>
      <c r="Q30" s="39">
        <f>(G30*6+L30*6)/12-0.001</f>
        <v>1.55E-2</v>
      </c>
      <c r="R30" s="40"/>
      <c r="S30" s="35">
        <f t="shared" si="4"/>
        <v>12.371</v>
      </c>
      <c r="T30" s="35">
        <f t="shared" si="12"/>
        <v>1.9E-2</v>
      </c>
      <c r="U30" s="35">
        <f t="shared" si="13"/>
        <v>12.335500000000001</v>
      </c>
      <c r="V30" s="35">
        <f t="shared" si="14"/>
        <v>1.6500000000000001E-2</v>
      </c>
    </row>
    <row r="31" spans="1:22" ht="15" x14ac:dyDescent="0.2">
      <c r="A31" s="254" t="s">
        <v>61</v>
      </c>
      <c r="B31" s="242" t="s">
        <v>91</v>
      </c>
      <c r="C31" s="256" t="s">
        <v>93</v>
      </c>
      <c r="D31" s="41"/>
      <c r="E31" s="39"/>
      <c r="F31" s="39"/>
      <c r="G31" s="39"/>
      <c r="H31" s="40"/>
      <c r="I31" s="41"/>
      <c r="J31" s="39"/>
      <c r="K31" s="39"/>
      <c r="L31" s="39"/>
      <c r="M31" s="40"/>
      <c r="N31" s="41"/>
      <c r="O31" s="39"/>
      <c r="P31" s="39"/>
      <c r="Q31" s="39"/>
      <c r="R31" s="40"/>
    </row>
    <row r="32" spans="1:22" ht="36" customHeight="1" x14ac:dyDescent="0.2">
      <c r="A32" s="42"/>
      <c r="B32" s="42"/>
      <c r="C32" s="42"/>
    </row>
  </sheetData>
  <mergeCells count="7">
    <mergeCell ref="N4:R4"/>
    <mergeCell ref="A2:P2"/>
    <mergeCell ref="A4:A5"/>
    <mergeCell ref="B4:B5"/>
    <mergeCell ref="C4:C6"/>
    <mergeCell ref="D4:H4"/>
    <mergeCell ref="I4:M4"/>
  </mergeCells>
  <printOptions horizontalCentered="1"/>
  <pageMargins left="0.59055118110236227" right="0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W123"/>
  <sheetViews>
    <sheetView view="pageBreakPreview" topLeftCell="A74" zoomScaleNormal="75" zoomScaleSheetLayoutView="100" workbookViewId="0">
      <selection activeCell="B104" sqref="B104"/>
    </sheetView>
  </sheetViews>
  <sheetFormatPr defaultColWidth="9.140625" defaultRowHeight="12.75" x14ac:dyDescent="0.2"/>
  <cols>
    <col min="1" max="1" width="5.28515625" style="43" customWidth="1"/>
    <col min="2" max="2" width="46" style="23" customWidth="1"/>
    <col min="3" max="3" width="11" style="44" customWidth="1"/>
    <col min="4" max="4" width="11.140625" style="44" customWidth="1"/>
    <col min="5" max="5" width="12.5703125" style="44" customWidth="1"/>
    <col min="6" max="6" width="9.7109375" style="44" customWidth="1"/>
    <col min="7" max="7" width="5.28515625" style="44" customWidth="1"/>
    <col min="8" max="8" width="7.140625" style="44" customWidth="1"/>
    <col min="9" max="9" width="6.28515625" style="44" customWidth="1"/>
    <col min="10" max="10" width="7.28515625" style="44" customWidth="1"/>
    <col min="11" max="11" width="8" style="44" customWidth="1"/>
    <col min="12" max="12" width="4" style="44" customWidth="1"/>
    <col min="13" max="13" width="8.28515625" style="45" customWidth="1"/>
    <col min="14" max="14" width="5" style="23" customWidth="1"/>
    <col min="15" max="15" width="4.5703125" style="46" customWidth="1"/>
    <col min="16" max="17" width="4.42578125" style="46" customWidth="1"/>
    <col min="18" max="18" width="4.5703125" style="46" customWidth="1"/>
    <col min="19" max="22" width="4.28515625" style="47" customWidth="1"/>
    <col min="23" max="23" width="4.140625" style="47" customWidth="1"/>
    <col min="24" max="16384" width="9.140625" style="23"/>
  </cols>
  <sheetData>
    <row r="1" spans="1:23" x14ac:dyDescent="0.2">
      <c r="K1" s="23"/>
      <c r="T1" s="44" t="s">
        <v>103</v>
      </c>
      <c r="W1" s="48"/>
    </row>
    <row r="3" spans="1:23" s="49" customFormat="1" ht="15.75" x14ac:dyDescent="0.25">
      <c r="A3" s="337" t="s">
        <v>104</v>
      </c>
      <c r="B3" s="337"/>
      <c r="C3" s="337"/>
      <c r="D3" s="337"/>
      <c r="E3" s="337"/>
      <c r="F3" s="337"/>
      <c r="G3" s="337"/>
      <c r="H3" s="337"/>
      <c r="I3" s="338" t="str">
        <f>П1.5!B1</f>
        <v>ОАО "КузбассЭлектро"</v>
      </c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</row>
    <row r="5" spans="1:23" s="25" customFormat="1" ht="25.5" customHeight="1" x14ac:dyDescent="0.2">
      <c r="A5" s="330" t="s">
        <v>105</v>
      </c>
      <c r="B5" s="330" t="s">
        <v>14</v>
      </c>
      <c r="C5" s="331" t="s">
        <v>106</v>
      </c>
      <c r="D5" s="331"/>
      <c r="E5" s="331"/>
      <c r="F5" s="331"/>
      <c r="G5" s="331"/>
      <c r="H5" s="332" t="s">
        <v>107</v>
      </c>
      <c r="I5" s="332"/>
      <c r="J5" s="332"/>
      <c r="K5" s="332"/>
      <c r="L5" s="332"/>
      <c r="M5" s="333" t="s">
        <v>108</v>
      </c>
      <c r="N5" s="334" t="s">
        <v>109</v>
      </c>
      <c r="O5" s="335"/>
      <c r="P5" s="335"/>
      <c r="Q5" s="335"/>
      <c r="R5" s="336"/>
      <c r="S5" s="326" t="s">
        <v>110</v>
      </c>
      <c r="T5" s="326"/>
      <c r="U5" s="326"/>
      <c r="V5" s="326"/>
      <c r="W5" s="326"/>
    </row>
    <row r="6" spans="1:23" s="25" customFormat="1" ht="18" customHeight="1" x14ac:dyDescent="0.2">
      <c r="A6" s="330"/>
      <c r="B6" s="330"/>
      <c r="C6" s="50" t="s">
        <v>111</v>
      </c>
      <c r="D6" s="50" t="s">
        <v>6</v>
      </c>
      <c r="E6" s="50" t="s">
        <v>7</v>
      </c>
      <c r="F6" s="50" t="s">
        <v>112</v>
      </c>
      <c r="G6" s="50" t="s">
        <v>9</v>
      </c>
      <c r="H6" s="50" t="s">
        <v>111</v>
      </c>
      <c r="I6" s="50" t="s">
        <v>6</v>
      </c>
      <c r="J6" s="50" t="s">
        <v>7</v>
      </c>
      <c r="K6" s="50" t="s">
        <v>112</v>
      </c>
      <c r="L6" s="50" t="s">
        <v>9</v>
      </c>
      <c r="M6" s="333"/>
      <c r="N6" s="27" t="s">
        <v>111</v>
      </c>
      <c r="O6" s="51" t="s">
        <v>6</v>
      </c>
      <c r="P6" s="51" t="s">
        <v>7</v>
      </c>
      <c r="Q6" s="51" t="s">
        <v>112</v>
      </c>
      <c r="R6" s="51" t="s">
        <v>9</v>
      </c>
      <c r="S6" s="52" t="s">
        <v>111</v>
      </c>
      <c r="T6" s="52" t="s">
        <v>6</v>
      </c>
      <c r="U6" s="52" t="s">
        <v>7</v>
      </c>
      <c r="V6" s="52" t="s">
        <v>112</v>
      </c>
      <c r="W6" s="52" t="s">
        <v>9</v>
      </c>
    </row>
    <row r="7" spans="1:23" s="55" customFormat="1" ht="13.5" customHeight="1" x14ac:dyDescent="0.2">
      <c r="A7" s="53">
        <v>1</v>
      </c>
      <c r="B7" s="54">
        <f t="shared" ref="B7:W7" si="0">+A7+1</f>
        <v>2</v>
      </c>
      <c r="C7" s="54">
        <f>+B7+1</f>
        <v>3</v>
      </c>
      <c r="D7" s="54">
        <f t="shared" si="0"/>
        <v>4</v>
      </c>
      <c r="E7" s="54">
        <f t="shared" si="0"/>
        <v>5</v>
      </c>
      <c r="F7" s="54">
        <f t="shared" si="0"/>
        <v>6</v>
      </c>
      <c r="G7" s="54">
        <f t="shared" si="0"/>
        <v>7</v>
      </c>
      <c r="H7" s="54">
        <f t="shared" si="0"/>
        <v>8</v>
      </c>
      <c r="I7" s="54">
        <f t="shared" si="0"/>
        <v>9</v>
      </c>
      <c r="J7" s="54">
        <f t="shared" si="0"/>
        <v>10</v>
      </c>
      <c r="K7" s="54">
        <f t="shared" si="0"/>
        <v>11</v>
      </c>
      <c r="L7" s="54">
        <f t="shared" si="0"/>
        <v>12</v>
      </c>
      <c r="M7" s="54">
        <f t="shared" si="0"/>
        <v>13</v>
      </c>
      <c r="N7" s="54">
        <f t="shared" si="0"/>
        <v>14</v>
      </c>
      <c r="O7" s="54">
        <f t="shared" si="0"/>
        <v>15</v>
      </c>
      <c r="P7" s="54">
        <f t="shared" si="0"/>
        <v>16</v>
      </c>
      <c r="Q7" s="54">
        <f t="shared" si="0"/>
        <v>17</v>
      </c>
      <c r="R7" s="54">
        <f t="shared" si="0"/>
        <v>18</v>
      </c>
      <c r="S7" s="54">
        <f t="shared" si="0"/>
        <v>19</v>
      </c>
      <c r="T7" s="54">
        <f t="shared" si="0"/>
        <v>20</v>
      </c>
      <c r="U7" s="54">
        <f t="shared" si="0"/>
        <v>21</v>
      </c>
      <c r="V7" s="54">
        <f t="shared" si="0"/>
        <v>22</v>
      </c>
      <c r="W7" s="54">
        <f t="shared" si="0"/>
        <v>23</v>
      </c>
    </row>
    <row r="8" spans="1:23" ht="15" customHeight="1" x14ac:dyDescent="0.2">
      <c r="A8" s="327" t="str">
        <f>П1.5!D4</f>
        <v>1 полугодие 2018г.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9"/>
    </row>
    <row r="9" spans="1:23" s="25" customFormat="1" x14ac:dyDescent="0.2">
      <c r="A9" s="259">
        <v>1</v>
      </c>
      <c r="B9" s="260" t="s">
        <v>16</v>
      </c>
      <c r="C9" s="61">
        <f>D9+F9+E9</f>
        <v>812.66700000000003</v>
      </c>
      <c r="D9" s="61">
        <f>D11+D12</f>
        <v>49.094999999999999</v>
      </c>
      <c r="E9" s="61">
        <f>SUM(E11:E13)</f>
        <v>4.4939999999999998</v>
      </c>
      <c r="F9" s="61">
        <f>F11+F12+F13+F16</f>
        <v>759.07799999999997</v>
      </c>
      <c r="G9" s="61"/>
      <c r="H9" s="296">
        <f>SUM(I9:K9)</f>
        <v>0.39300000000000002</v>
      </c>
      <c r="I9" s="296">
        <f>I11+I12</f>
        <v>4.7E-2</v>
      </c>
      <c r="J9" s="296">
        <f>SUM(J11:J14)</f>
        <v>0.01</v>
      </c>
      <c r="K9" s="296">
        <f>K12+K13+K16+K11</f>
        <v>0.33600000000000002</v>
      </c>
      <c r="L9" s="296"/>
      <c r="M9" s="231">
        <f>C9/H9</f>
        <v>2067.8549618320612</v>
      </c>
      <c r="N9" s="62"/>
      <c r="O9" s="232"/>
      <c r="P9" s="232"/>
      <c r="Q9" s="232"/>
      <c r="R9" s="232"/>
      <c r="S9" s="232"/>
      <c r="T9" s="232"/>
      <c r="U9" s="232"/>
      <c r="V9" s="232"/>
      <c r="W9" s="232"/>
    </row>
    <row r="10" spans="1:23" x14ac:dyDescent="0.2">
      <c r="A10" s="261" t="s">
        <v>59</v>
      </c>
      <c r="B10" s="262" t="s">
        <v>17</v>
      </c>
      <c r="C10" s="61"/>
      <c r="D10" s="56"/>
      <c r="E10" s="56"/>
      <c r="F10" s="56"/>
      <c r="G10" s="56"/>
      <c r="H10" s="294"/>
      <c r="I10" s="65"/>
      <c r="J10" s="65"/>
      <c r="K10" s="65"/>
      <c r="L10" s="65"/>
      <c r="M10" s="231"/>
      <c r="N10" s="62"/>
      <c r="O10" s="57"/>
      <c r="P10" s="57"/>
      <c r="Q10" s="57"/>
      <c r="R10" s="57"/>
      <c r="S10" s="58"/>
      <c r="T10" s="59"/>
      <c r="U10" s="59"/>
      <c r="V10" s="59"/>
      <c r="W10" s="59"/>
    </row>
    <row r="11" spans="1:23" s="25" customFormat="1" ht="13.5" customHeight="1" x14ac:dyDescent="0.2">
      <c r="A11" s="261" t="s">
        <v>113</v>
      </c>
      <c r="B11" s="262" t="s">
        <v>114</v>
      </c>
      <c r="C11" s="61">
        <f>D11+F11</f>
        <v>11.452</v>
      </c>
      <c r="D11" s="56"/>
      <c r="E11" s="56"/>
      <c r="F11" s="56">
        <v>11.452</v>
      </c>
      <c r="G11" s="56"/>
      <c r="H11" s="296">
        <f>I11+K11</f>
        <v>5.0000000000000001E-3</v>
      </c>
      <c r="I11" s="297"/>
      <c r="J11" s="65"/>
      <c r="K11" s="56">
        <v>5.0000000000000001E-3</v>
      </c>
      <c r="L11" s="65"/>
      <c r="M11" s="231">
        <f t="shared" ref="M11:M39" si="1">C11/H11</f>
        <v>2290.4</v>
      </c>
      <c r="N11" s="62"/>
      <c r="O11" s="57"/>
      <c r="P11" s="57"/>
      <c r="Q11" s="57"/>
      <c r="R11" s="57"/>
      <c r="S11" s="58"/>
      <c r="T11" s="59"/>
      <c r="U11" s="59"/>
      <c r="V11" s="59"/>
      <c r="W11" s="59"/>
    </row>
    <row r="12" spans="1:23" s="25" customFormat="1" x14ac:dyDescent="0.2">
      <c r="A12" s="261" t="s">
        <v>115</v>
      </c>
      <c r="B12" s="262" t="s">
        <v>116</v>
      </c>
      <c r="C12" s="61">
        <f>D12+F12+E12</f>
        <v>785.74</v>
      </c>
      <c r="D12" s="56">
        <v>49.094999999999999</v>
      </c>
      <c r="E12" s="56">
        <v>4.4939999999999998</v>
      </c>
      <c r="F12" s="56">
        <v>732.15099999999995</v>
      </c>
      <c r="G12" s="56"/>
      <c r="H12" s="296">
        <f>SUM(I12:K12)</f>
        <v>0.378</v>
      </c>
      <c r="I12" s="297">
        <v>4.7E-2</v>
      </c>
      <c r="J12" s="297">
        <v>0.01</v>
      </c>
      <c r="K12" s="297">
        <v>0.32100000000000001</v>
      </c>
      <c r="L12" s="65"/>
      <c r="M12" s="231">
        <f t="shared" si="1"/>
        <v>2078.6772486772488</v>
      </c>
      <c r="N12" s="62"/>
      <c r="O12" s="57"/>
      <c r="P12" s="57"/>
      <c r="Q12" s="57"/>
      <c r="R12" s="57"/>
      <c r="S12" s="58"/>
      <c r="T12" s="59"/>
      <c r="U12" s="59"/>
      <c r="V12" s="59"/>
      <c r="W12" s="59"/>
    </row>
    <row r="13" spans="1:23" s="25" customFormat="1" x14ac:dyDescent="0.2">
      <c r="A13" s="261" t="s">
        <v>117</v>
      </c>
      <c r="B13" s="262" t="s">
        <v>118</v>
      </c>
      <c r="C13" s="61">
        <f>SUM(D13:F13)</f>
        <v>0</v>
      </c>
      <c r="D13" s="56"/>
      <c r="E13" s="56"/>
      <c r="F13" s="56"/>
      <c r="G13" s="56"/>
      <c r="H13" s="296">
        <f>SUM(I13:K13)</f>
        <v>0</v>
      </c>
      <c r="I13" s="297"/>
      <c r="J13" s="297"/>
      <c r="K13" s="297"/>
      <c r="L13" s="65"/>
      <c r="M13" s="231"/>
      <c r="N13" s="62"/>
      <c r="O13" s="57"/>
      <c r="P13" s="57"/>
      <c r="Q13" s="57"/>
      <c r="R13" s="57"/>
      <c r="S13" s="58"/>
      <c r="T13" s="59"/>
      <c r="U13" s="59"/>
      <c r="V13" s="59"/>
      <c r="W13" s="59"/>
    </row>
    <row r="14" spans="1:23" s="25" customFormat="1" x14ac:dyDescent="0.2">
      <c r="A14" s="261" t="s">
        <v>60</v>
      </c>
      <c r="B14" s="262" t="s">
        <v>18</v>
      </c>
      <c r="C14" s="61"/>
      <c r="D14" s="56"/>
      <c r="E14" s="56"/>
      <c r="F14" s="56"/>
      <c r="G14" s="56"/>
      <c r="H14" s="294"/>
      <c r="I14" s="65"/>
      <c r="J14" s="65"/>
      <c r="K14" s="65"/>
      <c r="L14" s="65"/>
      <c r="M14" s="231"/>
      <c r="N14" s="62"/>
      <c r="O14" s="57"/>
      <c r="P14" s="57"/>
      <c r="Q14" s="57"/>
      <c r="R14" s="57"/>
      <c r="S14" s="58"/>
      <c r="T14" s="59"/>
      <c r="U14" s="59"/>
      <c r="V14" s="59"/>
      <c r="W14" s="59"/>
    </row>
    <row r="15" spans="1:23" s="25" customFormat="1" x14ac:dyDescent="0.2">
      <c r="A15" s="261" t="s">
        <v>119</v>
      </c>
      <c r="B15" s="262" t="s">
        <v>114</v>
      </c>
      <c r="C15" s="61"/>
      <c r="D15" s="56"/>
      <c r="E15" s="56"/>
      <c r="F15" s="56"/>
      <c r="G15" s="56"/>
      <c r="H15" s="294"/>
      <c r="I15" s="65"/>
      <c r="J15" s="65"/>
      <c r="K15" s="65"/>
      <c r="L15" s="65"/>
      <c r="M15" s="231"/>
      <c r="N15" s="62"/>
      <c r="O15" s="57"/>
      <c r="P15" s="57"/>
      <c r="Q15" s="57"/>
      <c r="R15" s="57"/>
      <c r="S15" s="58"/>
      <c r="T15" s="59"/>
      <c r="U15" s="59"/>
      <c r="V15" s="59"/>
      <c r="W15" s="59"/>
    </row>
    <row r="16" spans="1:23" s="25" customFormat="1" x14ac:dyDescent="0.2">
      <c r="A16" s="261" t="s">
        <v>120</v>
      </c>
      <c r="B16" s="262" t="s">
        <v>121</v>
      </c>
      <c r="C16" s="61">
        <f>D16+F16</f>
        <v>15.475</v>
      </c>
      <c r="D16" s="56"/>
      <c r="E16" s="56"/>
      <c r="F16" s="56">
        <v>15.475</v>
      </c>
      <c r="G16" s="56"/>
      <c r="H16" s="296">
        <f>I16+K16</f>
        <v>0.01</v>
      </c>
      <c r="I16" s="297"/>
      <c r="J16" s="297"/>
      <c r="K16" s="297">
        <v>0.01</v>
      </c>
      <c r="L16" s="297"/>
      <c r="M16" s="231">
        <f t="shared" si="1"/>
        <v>1547.5</v>
      </c>
      <c r="N16" s="62"/>
      <c r="O16" s="232"/>
      <c r="P16" s="232"/>
      <c r="Q16" s="232"/>
      <c r="R16" s="232"/>
      <c r="S16" s="232"/>
      <c r="T16" s="232"/>
      <c r="U16" s="232"/>
      <c r="V16" s="232"/>
      <c r="W16" s="232"/>
    </row>
    <row r="17" spans="1:23" s="25" customFormat="1" x14ac:dyDescent="0.2">
      <c r="A17" s="259" t="s">
        <v>19</v>
      </c>
      <c r="B17" s="263" t="s">
        <v>20</v>
      </c>
      <c r="C17" s="296">
        <f>C22+C26</f>
        <v>288455.78500000003</v>
      </c>
      <c r="D17" s="296">
        <f>D22+D26</f>
        <v>127327.90000000001</v>
      </c>
      <c r="E17" s="296">
        <f>E22+E26</f>
        <v>151417.10199999998</v>
      </c>
      <c r="F17" s="296">
        <f>F22+F26</f>
        <v>9710.7829999999994</v>
      </c>
      <c r="G17" s="296"/>
      <c r="H17" s="296">
        <f t="shared" ref="H17" si="2">I17+J17+K17</f>
        <v>79.754999999999995</v>
      </c>
      <c r="I17" s="296">
        <f>I22+I26</f>
        <v>36.191000000000003</v>
      </c>
      <c r="J17" s="296">
        <f>J22+J26</f>
        <v>41.094999999999999</v>
      </c>
      <c r="K17" s="296">
        <f>K22+K26</f>
        <v>2.4689999999999999</v>
      </c>
      <c r="L17" s="296"/>
      <c r="M17" s="299">
        <f t="shared" si="1"/>
        <v>3616.7736819008219</v>
      </c>
      <c r="N17" s="62"/>
      <c r="O17" s="232"/>
      <c r="P17" s="232"/>
      <c r="Q17" s="232"/>
      <c r="R17" s="232"/>
      <c r="S17" s="232"/>
      <c r="T17" s="232"/>
      <c r="U17" s="232"/>
      <c r="V17" s="232"/>
      <c r="W17" s="232"/>
    </row>
    <row r="18" spans="1:23" s="25" customFormat="1" x14ac:dyDescent="0.2">
      <c r="A18" s="261" t="s">
        <v>77</v>
      </c>
      <c r="B18" s="60" t="s">
        <v>122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9"/>
      <c r="N18" s="62"/>
      <c r="O18" s="232"/>
      <c r="P18" s="232"/>
      <c r="Q18" s="232"/>
      <c r="R18" s="232"/>
      <c r="S18" s="232"/>
      <c r="T18" s="232"/>
      <c r="U18" s="232"/>
      <c r="V18" s="232"/>
      <c r="W18" s="232"/>
    </row>
    <row r="19" spans="1:23" x14ac:dyDescent="0.2">
      <c r="A19" s="264"/>
      <c r="B19" s="60" t="s">
        <v>123</v>
      </c>
      <c r="C19" s="296"/>
      <c r="D19" s="297"/>
      <c r="E19" s="297"/>
      <c r="F19" s="297"/>
      <c r="G19" s="297"/>
      <c r="H19" s="296"/>
      <c r="I19" s="297"/>
      <c r="J19" s="297"/>
      <c r="K19" s="297"/>
      <c r="L19" s="297"/>
      <c r="M19" s="299"/>
      <c r="N19" s="62"/>
      <c r="O19" s="57"/>
      <c r="P19" s="57"/>
      <c r="Q19" s="57"/>
      <c r="R19" s="57"/>
      <c r="S19" s="63"/>
      <c r="T19" s="59"/>
      <c r="U19" s="59"/>
      <c r="V19" s="59"/>
      <c r="W19" s="59"/>
    </row>
    <row r="20" spans="1:23" x14ac:dyDescent="0.2">
      <c r="A20" s="264"/>
      <c r="B20" s="60" t="s">
        <v>124</v>
      </c>
      <c r="C20" s="296"/>
      <c r="D20" s="297"/>
      <c r="E20" s="297"/>
      <c r="F20" s="297"/>
      <c r="G20" s="297"/>
      <c r="H20" s="296"/>
      <c r="I20" s="297"/>
      <c r="J20" s="297"/>
      <c r="K20" s="297"/>
      <c r="L20" s="297"/>
      <c r="M20" s="299"/>
      <c r="N20" s="62"/>
      <c r="O20" s="57"/>
      <c r="P20" s="57"/>
      <c r="Q20" s="57"/>
      <c r="R20" s="57"/>
      <c r="S20" s="63"/>
      <c r="T20" s="59"/>
      <c r="U20" s="59"/>
      <c r="V20" s="59"/>
      <c r="W20" s="59"/>
    </row>
    <row r="21" spans="1:23" s="47" customFormat="1" x14ac:dyDescent="0.2">
      <c r="A21" s="261"/>
      <c r="B21" s="60" t="s">
        <v>125</v>
      </c>
      <c r="C21" s="296"/>
      <c r="D21" s="297"/>
      <c r="E21" s="297"/>
      <c r="F21" s="297"/>
      <c r="G21" s="297"/>
      <c r="H21" s="296"/>
      <c r="I21" s="297"/>
      <c r="J21" s="297"/>
      <c r="K21" s="297"/>
      <c r="L21" s="297"/>
      <c r="M21" s="299"/>
      <c r="N21" s="62"/>
      <c r="O21" s="57"/>
      <c r="P21" s="57"/>
      <c r="Q21" s="57"/>
      <c r="R21" s="57"/>
      <c r="S21" s="63"/>
      <c r="T21" s="59"/>
      <c r="U21" s="59"/>
      <c r="V21" s="59"/>
      <c r="W21" s="59"/>
    </row>
    <row r="22" spans="1:23" s="25" customFormat="1" x14ac:dyDescent="0.2">
      <c r="A22" s="261" t="s">
        <v>81</v>
      </c>
      <c r="B22" s="265" t="s">
        <v>126</v>
      </c>
      <c r="C22" s="296">
        <f t="shared" ref="C22:C25" si="3">D22+E22+F22</f>
        <v>20544.249</v>
      </c>
      <c r="D22" s="296">
        <f>SUM(D23:D25)</f>
        <v>12217.576999999999</v>
      </c>
      <c r="E22" s="296">
        <f>SUM(E23:E25)</f>
        <v>5325.6289999999999</v>
      </c>
      <c r="F22" s="296">
        <f>SUM(F23:F25)</f>
        <v>3001.0430000000001</v>
      </c>
      <c r="G22" s="296"/>
      <c r="H22" s="296">
        <f t="shared" ref="H22:H38" si="4">I22+J22+K22</f>
        <v>7.8790000000000004</v>
      </c>
      <c r="I22" s="296">
        <f>SUM(I23:I25)</f>
        <v>5.5270000000000001</v>
      </c>
      <c r="J22" s="296">
        <f>SUM(J23:J25)</f>
        <v>1.657</v>
      </c>
      <c r="K22" s="296">
        <f>SUM(K23:K25)</f>
        <v>0.69499999999999995</v>
      </c>
      <c r="L22" s="296"/>
      <c r="M22" s="299">
        <f t="shared" si="1"/>
        <v>2607.4690950628251</v>
      </c>
      <c r="N22" s="62"/>
      <c r="O22" s="232"/>
      <c r="P22" s="232"/>
      <c r="Q22" s="232"/>
      <c r="R22" s="232"/>
      <c r="S22" s="232"/>
      <c r="T22" s="232"/>
      <c r="U22" s="232"/>
      <c r="V22" s="232"/>
      <c r="W22" s="232"/>
    </row>
    <row r="23" spans="1:23" s="47" customFormat="1" x14ac:dyDescent="0.2">
      <c r="A23" s="261"/>
      <c r="B23" s="266" t="s">
        <v>280</v>
      </c>
      <c r="C23" s="296">
        <f t="shared" si="3"/>
        <v>11556.761999999999</v>
      </c>
      <c r="D23" s="298">
        <v>6845.6409999999996</v>
      </c>
      <c r="E23" s="298">
        <v>1710.078</v>
      </c>
      <c r="F23" s="298">
        <v>3001.0430000000001</v>
      </c>
      <c r="G23" s="297"/>
      <c r="H23" s="296">
        <f t="shared" si="4"/>
        <v>5.07</v>
      </c>
      <c r="I23" s="64">
        <v>3.718</v>
      </c>
      <c r="J23" s="64">
        <v>0.65700000000000003</v>
      </c>
      <c r="K23" s="64">
        <v>0.69499999999999995</v>
      </c>
      <c r="L23" s="56"/>
      <c r="M23" s="299">
        <f t="shared" si="1"/>
        <v>2279.4402366863901</v>
      </c>
      <c r="N23" s="62"/>
      <c r="O23" s="66"/>
      <c r="P23" s="66"/>
      <c r="Q23" s="66"/>
      <c r="R23" s="66"/>
      <c r="S23" s="63"/>
      <c r="T23" s="59"/>
      <c r="U23" s="59"/>
      <c r="V23" s="59"/>
      <c r="W23" s="59"/>
    </row>
    <row r="24" spans="1:23" s="47" customFormat="1" x14ac:dyDescent="0.2">
      <c r="A24" s="261"/>
      <c r="B24" s="266" t="s">
        <v>284</v>
      </c>
      <c r="C24" s="296">
        <f t="shared" si="3"/>
        <v>5371.9359999999997</v>
      </c>
      <c r="D24" s="298">
        <v>5371.9359999999997</v>
      </c>
      <c r="E24" s="298"/>
      <c r="F24" s="298"/>
      <c r="G24" s="297"/>
      <c r="H24" s="296">
        <f t="shared" si="4"/>
        <v>1.8089999999999999</v>
      </c>
      <c r="I24" s="64">
        <v>1.8089999999999999</v>
      </c>
      <c r="J24" s="64"/>
      <c r="K24" s="64"/>
      <c r="L24" s="56"/>
      <c r="M24" s="299">
        <f t="shared" si="1"/>
        <v>2969.5610834715312</v>
      </c>
      <c r="N24" s="62"/>
      <c r="O24" s="66"/>
      <c r="P24" s="66"/>
      <c r="Q24" s="66"/>
      <c r="R24" s="66"/>
      <c r="S24" s="63"/>
      <c r="T24" s="63"/>
      <c r="U24" s="59"/>
      <c r="V24" s="59"/>
      <c r="W24" s="59"/>
    </row>
    <row r="25" spans="1:23" s="47" customFormat="1" x14ac:dyDescent="0.2">
      <c r="A25" s="302"/>
      <c r="B25" s="60" t="s">
        <v>286</v>
      </c>
      <c r="C25" s="61">
        <f t="shared" si="3"/>
        <v>3615.5509999999999</v>
      </c>
      <c r="D25" s="56"/>
      <c r="E25" s="56">
        <v>3615.5509999999999</v>
      </c>
      <c r="F25" s="56"/>
      <c r="G25" s="56"/>
      <c r="H25" s="296">
        <f t="shared" si="4"/>
        <v>1</v>
      </c>
      <c r="I25" s="56"/>
      <c r="J25" s="56">
        <v>1</v>
      </c>
      <c r="K25" s="56"/>
      <c r="L25" s="56"/>
      <c r="M25" s="231">
        <f t="shared" si="1"/>
        <v>3615.5509999999999</v>
      </c>
      <c r="N25" s="62"/>
      <c r="O25" s="66"/>
      <c r="P25" s="66"/>
      <c r="Q25" s="66"/>
      <c r="R25" s="66"/>
      <c r="S25" s="63"/>
      <c r="T25" s="59"/>
      <c r="U25" s="59"/>
      <c r="V25" s="59"/>
      <c r="W25" s="59"/>
    </row>
    <row r="26" spans="1:23" s="25" customFormat="1" x14ac:dyDescent="0.2">
      <c r="A26" s="261" t="s">
        <v>127</v>
      </c>
      <c r="B26" s="265" t="s">
        <v>128</v>
      </c>
      <c r="C26" s="61">
        <f>D26+E26+F26</f>
        <v>267911.53600000002</v>
      </c>
      <c r="D26" s="61">
        <f>SUM(D27:D32)</f>
        <v>115110.323</v>
      </c>
      <c r="E26" s="61">
        <f>SUM(E27:E32)</f>
        <v>146091.473</v>
      </c>
      <c r="F26" s="61">
        <f>SUM(F27:F32)</f>
        <v>6709.7399999999989</v>
      </c>
      <c r="G26" s="61"/>
      <c r="H26" s="296">
        <f>I26+J26+K26</f>
        <v>71.876000000000005</v>
      </c>
      <c r="I26" s="61">
        <f>SUM(I27:I32)</f>
        <v>30.664000000000001</v>
      </c>
      <c r="J26" s="61">
        <f t="shared" ref="J26:K26" si="5">SUM(J27:J32)</f>
        <v>39.438000000000002</v>
      </c>
      <c r="K26" s="61">
        <f t="shared" si="5"/>
        <v>1.7739999999999998</v>
      </c>
      <c r="L26" s="61"/>
      <c r="M26" s="231">
        <f t="shared" si="1"/>
        <v>3727.4129890366744</v>
      </c>
      <c r="N26" s="62"/>
      <c r="O26" s="232"/>
      <c r="P26" s="232"/>
      <c r="Q26" s="232"/>
      <c r="R26" s="232"/>
      <c r="S26" s="232"/>
      <c r="T26" s="232"/>
      <c r="U26" s="232"/>
      <c r="V26" s="232"/>
      <c r="W26" s="232"/>
    </row>
    <row r="27" spans="1:23" s="47" customFormat="1" x14ac:dyDescent="0.2">
      <c r="A27" s="261"/>
      <c r="B27" s="266" t="s">
        <v>281</v>
      </c>
      <c r="C27" s="61">
        <f>D27+F27+E27</f>
        <v>28981.621999999999</v>
      </c>
      <c r="D27" s="56">
        <v>24154.511999999999</v>
      </c>
      <c r="E27" s="56"/>
      <c r="F27" s="56">
        <v>4827.1099999999997</v>
      </c>
      <c r="G27" s="56"/>
      <c r="H27" s="296">
        <f t="shared" si="4"/>
        <v>7.5410000000000004</v>
      </c>
      <c r="I27" s="64">
        <v>6.266</v>
      </c>
      <c r="J27" s="64"/>
      <c r="K27" s="64">
        <v>1.2749999999999999</v>
      </c>
      <c r="L27" s="56"/>
      <c r="M27" s="231">
        <f t="shared" si="1"/>
        <v>3843.2067365070943</v>
      </c>
      <c r="N27" s="62"/>
      <c r="O27" s="66"/>
      <c r="P27" s="66"/>
      <c r="Q27" s="66"/>
      <c r="R27" s="66"/>
      <c r="S27" s="63"/>
      <c r="T27" s="59"/>
      <c r="U27" s="59"/>
      <c r="V27" s="59"/>
      <c r="W27" s="59"/>
    </row>
    <row r="28" spans="1:23" s="47" customFormat="1" ht="14.25" customHeight="1" x14ac:dyDescent="0.2">
      <c r="A28" s="261"/>
      <c r="B28" s="266" t="s">
        <v>285</v>
      </c>
      <c r="C28" s="296">
        <f t="shared" ref="C28" si="6">D28+E28+F28</f>
        <v>6760.6990000000005</v>
      </c>
      <c r="D28" s="298">
        <v>2965.2739999999999</v>
      </c>
      <c r="E28" s="298">
        <v>3795.4250000000002</v>
      </c>
      <c r="F28" s="298"/>
      <c r="G28" s="297"/>
      <c r="H28" s="296">
        <f>I28+J28+K28</f>
        <v>1.5739999999999998</v>
      </c>
      <c r="I28" s="64">
        <v>0.69099999999999995</v>
      </c>
      <c r="J28" s="64">
        <v>0.88300000000000001</v>
      </c>
      <c r="K28" s="64"/>
      <c r="L28" s="56"/>
      <c r="M28" s="299">
        <f t="shared" ref="M28" si="7">C28/H28</f>
        <v>4295.2344345616275</v>
      </c>
      <c r="N28" s="62"/>
      <c r="O28" s="66"/>
      <c r="P28" s="66"/>
      <c r="Q28" s="66"/>
      <c r="R28" s="66"/>
      <c r="S28" s="63"/>
      <c r="T28" s="63"/>
      <c r="U28" s="63"/>
      <c r="V28" s="63"/>
      <c r="W28" s="59"/>
    </row>
    <row r="29" spans="1:23" s="47" customFormat="1" ht="14.25" customHeight="1" x14ac:dyDescent="0.2">
      <c r="A29" s="261"/>
      <c r="B29" s="266" t="s">
        <v>282</v>
      </c>
      <c r="C29" s="61">
        <f t="shared" ref="C29:C30" si="8">D29+F29+E29</f>
        <v>7174.0069999999996</v>
      </c>
      <c r="D29" s="56">
        <v>7174.0069999999996</v>
      </c>
      <c r="E29" s="56"/>
      <c r="F29" s="56"/>
      <c r="G29" s="56"/>
      <c r="H29" s="296">
        <f t="shared" si="4"/>
        <v>2.0630000000000002</v>
      </c>
      <c r="I29" s="56">
        <v>2.0630000000000002</v>
      </c>
      <c r="J29" s="56"/>
      <c r="K29" s="56"/>
      <c r="L29" s="56"/>
      <c r="M29" s="231">
        <f t="shared" si="1"/>
        <v>3477.4634028114392</v>
      </c>
      <c r="N29" s="62"/>
      <c r="O29" s="66"/>
      <c r="P29" s="66"/>
      <c r="Q29" s="66"/>
      <c r="R29" s="66"/>
      <c r="S29" s="63"/>
      <c r="T29" s="63"/>
      <c r="U29" s="63"/>
      <c r="V29" s="63"/>
      <c r="W29" s="59"/>
    </row>
    <row r="30" spans="1:23" s="47" customFormat="1" ht="14.25" customHeight="1" x14ac:dyDescent="0.2">
      <c r="A30" s="261"/>
      <c r="B30" s="266" t="s">
        <v>283</v>
      </c>
      <c r="C30" s="61">
        <f t="shared" si="8"/>
        <v>8082.9319999999998</v>
      </c>
      <c r="D30" s="56">
        <v>8082.9319999999998</v>
      </c>
      <c r="E30" s="56"/>
      <c r="F30" s="56"/>
      <c r="G30" s="56"/>
      <c r="H30" s="296">
        <f t="shared" si="4"/>
        <v>1.9790000000000001</v>
      </c>
      <c r="I30" s="56">
        <v>1.9790000000000001</v>
      </c>
      <c r="J30" s="56"/>
      <c r="K30" s="56"/>
      <c r="L30" s="56"/>
      <c r="M30" s="231">
        <f t="shared" si="1"/>
        <v>4084.351692774128</v>
      </c>
      <c r="N30" s="62"/>
      <c r="O30" s="66"/>
      <c r="P30" s="66"/>
      <c r="Q30" s="66"/>
      <c r="R30" s="66"/>
      <c r="S30" s="63"/>
      <c r="T30" s="63"/>
      <c r="U30" s="63"/>
      <c r="V30" s="63"/>
      <c r="W30" s="59"/>
    </row>
    <row r="31" spans="1:23" s="47" customFormat="1" ht="14.25" customHeight="1" x14ac:dyDescent="0.2">
      <c r="A31" s="261"/>
      <c r="B31" s="303" t="s">
        <v>320</v>
      </c>
      <c r="C31" s="61">
        <f t="shared" ref="C31" si="9">D31+F31+E31</f>
        <v>196113.674</v>
      </c>
      <c r="D31" s="56">
        <v>52172.682999999997</v>
      </c>
      <c r="E31" s="56">
        <v>142079.48000000001</v>
      </c>
      <c r="F31" s="56">
        <v>1861.511</v>
      </c>
      <c r="G31" s="56"/>
      <c r="H31" s="296">
        <f t="shared" ref="H31" si="10">I31+J31+K31</f>
        <v>53.245999999999995</v>
      </c>
      <c r="I31" s="56">
        <v>14.254</v>
      </c>
      <c r="J31" s="56">
        <v>38.497999999999998</v>
      </c>
      <c r="K31" s="56">
        <v>0.49399999999999999</v>
      </c>
      <c r="L31" s="56"/>
      <c r="M31" s="231">
        <f t="shared" ref="M31" si="11">C31/H31</f>
        <v>3683.1625662021565</v>
      </c>
      <c r="N31" s="62"/>
      <c r="O31" s="66"/>
      <c r="P31" s="66"/>
      <c r="Q31" s="66"/>
      <c r="R31" s="66"/>
      <c r="S31" s="63"/>
      <c r="T31" s="63"/>
      <c r="U31" s="63"/>
      <c r="V31" s="63"/>
      <c r="W31" s="59"/>
    </row>
    <row r="32" spans="1:23" s="47" customFormat="1" ht="14.25" customHeight="1" x14ac:dyDescent="0.2">
      <c r="A32" s="261"/>
      <c r="B32" s="266" t="s">
        <v>321</v>
      </c>
      <c r="C32" s="61">
        <f>D32+F32+E32</f>
        <v>20798.601999999999</v>
      </c>
      <c r="D32" s="297">
        <v>20560.915000000001</v>
      </c>
      <c r="E32" s="297">
        <v>216.56800000000001</v>
      </c>
      <c r="F32" s="297">
        <v>21.119</v>
      </c>
      <c r="G32" s="56"/>
      <c r="H32" s="296">
        <f t="shared" si="4"/>
        <v>5.4729999999999999</v>
      </c>
      <c r="I32" s="56">
        <v>5.4109999999999996</v>
      </c>
      <c r="J32" s="56">
        <v>5.7000000000000002E-2</v>
      </c>
      <c r="K32" s="56">
        <v>5.0000000000000001E-3</v>
      </c>
      <c r="L32" s="56"/>
      <c r="M32" s="231">
        <f t="shared" si="1"/>
        <v>3800.2196236067971</v>
      </c>
      <c r="N32" s="62"/>
      <c r="O32" s="66"/>
      <c r="P32" s="66"/>
      <c r="Q32" s="66"/>
      <c r="R32" s="66"/>
      <c r="S32" s="63"/>
      <c r="T32" s="63"/>
      <c r="U32" s="63"/>
      <c r="V32" s="63"/>
      <c r="W32" s="59"/>
    </row>
    <row r="33" spans="1:23" x14ac:dyDescent="0.2">
      <c r="A33" s="267" t="s">
        <v>129</v>
      </c>
      <c r="B33" s="268" t="s">
        <v>130</v>
      </c>
      <c r="C33" s="61">
        <f>D33+E33+F33</f>
        <v>35810.456000000006</v>
      </c>
      <c r="D33" s="61">
        <f>SUM(D34:D38)</f>
        <v>128.27699999999999</v>
      </c>
      <c r="E33" s="61">
        <f t="shared" ref="E33:F33" si="12">SUM(E34:E38)</f>
        <v>35635.635000000002</v>
      </c>
      <c r="F33" s="61">
        <f t="shared" si="12"/>
        <v>46.543999999999997</v>
      </c>
      <c r="G33" s="61"/>
      <c r="H33" s="296">
        <f t="shared" si="4"/>
        <v>12.915999999999999</v>
      </c>
      <c r="I33" s="61">
        <f>SUM(I34:I38)</f>
        <v>3.7999999999999999E-2</v>
      </c>
      <c r="J33" s="61">
        <f t="shared" ref="J33" si="13">SUM(J34:J38)</f>
        <v>12.866999999999999</v>
      </c>
      <c r="K33" s="61">
        <f t="shared" ref="K33" si="14">SUM(K34:K38)</f>
        <v>1.0999999999999999E-2</v>
      </c>
      <c r="L33" s="61"/>
      <c r="M33" s="231">
        <f t="shared" si="1"/>
        <v>2772.5655001548475</v>
      </c>
      <c r="N33" s="62"/>
      <c r="O33" s="232"/>
      <c r="P33" s="232"/>
      <c r="Q33" s="232"/>
      <c r="R33" s="232"/>
      <c r="S33" s="232"/>
      <c r="T33" s="232"/>
      <c r="U33" s="232"/>
      <c r="V33" s="232"/>
      <c r="W33" s="232"/>
    </row>
    <row r="34" spans="1:23" s="47" customFormat="1" x14ac:dyDescent="0.2">
      <c r="A34" s="261"/>
      <c r="B34" s="266" t="s">
        <v>287</v>
      </c>
      <c r="C34" s="61">
        <f>D34+E34+F34</f>
        <v>164.55899999999997</v>
      </c>
      <c r="D34" s="56">
        <v>128.27699999999999</v>
      </c>
      <c r="E34" s="56">
        <v>0</v>
      </c>
      <c r="F34" s="56">
        <v>36.281999999999996</v>
      </c>
      <c r="G34" s="56"/>
      <c r="H34" s="296">
        <f t="shared" si="4"/>
        <v>4.5999999999999999E-2</v>
      </c>
      <c r="I34" s="297">
        <v>3.7999999999999999E-2</v>
      </c>
      <c r="J34" s="297"/>
      <c r="K34" s="297">
        <v>8.0000000000000002E-3</v>
      </c>
      <c r="L34" s="65"/>
      <c r="M34" s="231">
        <f t="shared" si="1"/>
        <v>3577.3695652173906</v>
      </c>
      <c r="N34" s="62"/>
      <c r="O34" s="57"/>
      <c r="P34" s="57"/>
      <c r="Q34" s="57"/>
      <c r="R34" s="57"/>
      <c r="S34" s="63"/>
      <c r="T34" s="59"/>
      <c r="U34" s="59"/>
      <c r="V34" s="59"/>
      <c r="W34" s="59"/>
    </row>
    <row r="35" spans="1:23" s="47" customFormat="1" x14ac:dyDescent="0.2">
      <c r="A35" s="261"/>
      <c r="B35" s="266" t="s">
        <v>312</v>
      </c>
      <c r="C35" s="61">
        <f t="shared" ref="C35:C36" si="15">D35+E35+F35</f>
        <v>31089.728999999999</v>
      </c>
      <c r="D35" s="56"/>
      <c r="E35" s="56">
        <v>31089.728999999999</v>
      </c>
      <c r="F35" s="56"/>
      <c r="G35" s="56"/>
      <c r="H35" s="296">
        <f t="shared" si="4"/>
        <v>11.667</v>
      </c>
      <c r="I35" s="297"/>
      <c r="J35" s="297">
        <v>11.667</v>
      </c>
      <c r="K35" s="297"/>
      <c r="L35" s="65"/>
      <c r="M35" s="231">
        <f t="shared" si="1"/>
        <v>2664.7577783491902</v>
      </c>
      <c r="N35" s="62"/>
      <c r="O35" s="57"/>
      <c r="P35" s="57"/>
      <c r="Q35" s="57"/>
      <c r="R35" s="57"/>
      <c r="S35" s="63"/>
      <c r="T35" s="59"/>
      <c r="U35" s="59"/>
      <c r="V35" s="59"/>
      <c r="W35" s="59"/>
    </row>
    <row r="36" spans="1:23" s="47" customFormat="1" x14ac:dyDescent="0.2">
      <c r="A36" s="261"/>
      <c r="B36" s="266" t="s">
        <v>288</v>
      </c>
      <c r="C36" s="61">
        <f t="shared" si="15"/>
        <v>4545.9059999999999</v>
      </c>
      <c r="D36" s="56"/>
      <c r="E36" s="56">
        <v>4545.9059999999999</v>
      </c>
      <c r="F36" s="56"/>
      <c r="G36" s="56"/>
      <c r="H36" s="296">
        <f t="shared" si="4"/>
        <v>1.2</v>
      </c>
      <c r="I36" s="297"/>
      <c r="J36" s="297">
        <v>1.2</v>
      </c>
      <c r="K36" s="297"/>
      <c r="L36" s="65"/>
      <c r="M36" s="231">
        <f t="shared" si="1"/>
        <v>3788.2550000000001</v>
      </c>
      <c r="N36" s="62"/>
      <c r="O36" s="57"/>
      <c r="P36" s="57"/>
      <c r="Q36" s="57"/>
      <c r="R36" s="57"/>
      <c r="S36" s="63"/>
      <c r="T36" s="59"/>
      <c r="U36" s="59"/>
      <c r="V36" s="59"/>
      <c r="W36" s="59"/>
    </row>
    <row r="37" spans="1:23" s="47" customFormat="1" hidden="1" x14ac:dyDescent="0.2">
      <c r="A37" s="261"/>
      <c r="B37" s="266"/>
      <c r="C37" s="61"/>
      <c r="D37" s="56"/>
      <c r="E37" s="56"/>
      <c r="F37" s="56"/>
      <c r="G37" s="56"/>
      <c r="H37" s="296"/>
      <c r="I37" s="297"/>
      <c r="J37" s="297"/>
      <c r="K37" s="297"/>
      <c r="L37" s="65"/>
      <c r="M37" s="231"/>
      <c r="N37" s="62"/>
      <c r="O37" s="57"/>
      <c r="P37" s="57"/>
      <c r="Q37" s="57"/>
      <c r="R37" s="57"/>
      <c r="S37" s="63"/>
      <c r="T37" s="59"/>
      <c r="U37" s="59"/>
      <c r="V37" s="59"/>
      <c r="W37" s="59"/>
    </row>
    <row r="38" spans="1:23" s="47" customFormat="1" x14ac:dyDescent="0.2">
      <c r="A38" s="261"/>
      <c r="B38" s="266" t="s">
        <v>309</v>
      </c>
      <c r="C38" s="61">
        <f>D38+E38+F38</f>
        <v>10.262</v>
      </c>
      <c r="D38" s="56"/>
      <c r="E38" s="56"/>
      <c r="F38" s="56">
        <v>10.262</v>
      </c>
      <c r="G38" s="56"/>
      <c r="H38" s="296">
        <f t="shared" si="4"/>
        <v>3.0000000000000001E-3</v>
      </c>
      <c r="I38" s="297"/>
      <c r="J38" s="297"/>
      <c r="K38" s="297">
        <v>3.0000000000000001E-3</v>
      </c>
      <c r="L38" s="65"/>
      <c r="M38" s="231">
        <f t="shared" si="1"/>
        <v>3420.666666666667</v>
      </c>
      <c r="N38" s="62"/>
      <c r="O38" s="57"/>
      <c r="P38" s="57"/>
      <c r="Q38" s="57"/>
      <c r="R38" s="57"/>
      <c r="S38" s="63"/>
      <c r="T38" s="59"/>
      <c r="U38" s="63"/>
      <c r="V38" s="59"/>
      <c r="W38" s="59"/>
    </row>
    <row r="39" spans="1:23" s="25" customFormat="1" x14ac:dyDescent="0.2">
      <c r="A39" s="267" t="s">
        <v>131</v>
      </c>
      <c r="B39" s="263" t="s">
        <v>132</v>
      </c>
      <c r="C39" s="61">
        <f>C33+C17+C9</f>
        <v>325078.90800000005</v>
      </c>
      <c r="D39" s="61">
        <f>D33+D17+D9</f>
        <v>127505.27200000001</v>
      </c>
      <c r="E39" s="61">
        <f>E33+E17+E9</f>
        <v>187057.231</v>
      </c>
      <c r="F39" s="61">
        <f>F33+F17+F9</f>
        <v>10516.404999999999</v>
      </c>
      <c r="G39" s="61"/>
      <c r="H39" s="296">
        <f>H33+H17+H9</f>
        <v>93.063999999999993</v>
      </c>
      <c r="I39" s="296">
        <f>I33+I17+I9</f>
        <v>36.275999999999996</v>
      </c>
      <c r="J39" s="296">
        <f>J33+J17+J9</f>
        <v>53.971999999999994</v>
      </c>
      <c r="K39" s="296">
        <f>K33+K17+K9</f>
        <v>2.8159999999999998</v>
      </c>
      <c r="L39" s="294"/>
      <c r="M39" s="231">
        <f t="shared" si="1"/>
        <v>3493.068297085877</v>
      </c>
      <c r="N39" s="62"/>
      <c r="O39" s="232"/>
      <c r="P39" s="232"/>
      <c r="Q39" s="232"/>
      <c r="R39" s="232"/>
      <c r="S39" s="232"/>
      <c r="T39" s="232"/>
      <c r="U39" s="232"/>
      <c r="V39" s="232"/>
      <c r="W39" s="232"/>
    </row>
    <row r="40" spans="1:23" s="25" customFormat="1" x14ac:dyDescent="0.2">
      <c r="A40" s="67"/>
      <c r="B40" s="68"/>
      <c r="C40" s="69"/>
      <c r="D40" s="69"/>
      <c r="E40" s="69"/>
      <c r="F40" s="69"/>
      <c r="G40" s="283"/>
      <c r="H40" s="69"/>
      <c r="I40" s="283" t="e">
        <f>SUM(I9,I23,I32,#REF!,#REF!,#REF!)</f>
        <v>#REF!</v>
      </c>
      <c r="J40" s="283" t="e">
        <f>SUM(J9,J23,J32,#REF!,#REF!,#REF!)</f>
        <v>#REF!</v>
      </c>
      <c r="K40" s="283" t="e">
        <f>SUM(K9,K23,K32,#REF!,#REF!,#REF!)</f>
        <v>#REF!</v>
      </c>
      <c r="L40" s="283"/>
      <c r="M40" s="70"/>
      <c r="N40" s="71"/>
      <c r="O40" s="72"/>
      <c r="P40" s="72"/>
      <c r="Q40" s="72"/>
      <c r="R40" s="72"/>
      <c r="S40" s="73"/>
      <c r="T40" s="74"/>
      <c r="U40" s="74"/>
      <c r="V40" s="74"/>
      <c r="W40" s="74"/>
    </row>
    <row r="41" spans="1:23" x14ac:dyDescent="0.2">
      <c r="G41" s="284"/>
      <c r="H41" s="285">
        <f>H39-H33</f>
        <v>80.147999999999996</v>
      </c>
      <c r="I41" s="285">
        <f>I39-I33</f>
        <v>36.238</v>
      </c>
      <c r="J41" s="285">
        <f>J39-J33</f>
        <v>41.104999999999997</v>
      </c>
      <c r="K41" s="285">
        <f>K39-K33</f>
        <v>2.8049999999999997</v>
      </c>
      <c r="L41" s="284"/>
    </row>
    <row r="42" spans="1:23" hidden="1" x14ac:dyDescent="0.2"/>
    <row r="43" spans="1:23" hidden="1" x14ac:dyDescent="0.2"/>
    <row r="44" spans="1:23" s="25" customFormat="1" ht="25.5" hidden="1" customHeight="1" x14ac:dyDescent="0.2">
      <c r="A44" s="330" t="s">
        <v>105</v>
      </c>
      <c r="B44" s="330" t="s">
        <v>14</v>
      </c>
      <c r="C44" s="331" t="s">
        <v>106</v>
      </c>
      <c r="D44" s="331"/>
      <c r="E44" s="331"/>
      <c r="F44" s="331"/>
      <c r="G44" s="331"/>
      <c r="H44" s="332" t="s">
        <v>107</v>
      </c>
      <c r="I44" s="332"/>
      <c r="J44" s="332"/>
      <c r="K44" s="332"/>
      <c r="L44" s="332"/>
      <c r="M44" s="333" t="s">
        <v>108</v>
      </c>
      <c r="N44" s="334" t="s">
        <v>109</v>
      </c>
      <c r="O44" s="335"/>
      <c r="P44" s="335"/>
      <c r="Q44" s="335"/>
      <c r="R44" s="336"/>
      <c r="S44" s="326" t="s">
        <v>110</v>
      </c>
      <c r="T44" s="326"/>
      <c r="U44" s="326"/>
      <c r="V44" s="326"/>
      <c r="W44" s="326"/>
    </row>
    <row r="45" spans="1:23" s="25" customFormat="1" ht="18" hidden="1" customHeight="1" x14ac:dyDescent="0.2">
      <c r="A45" s="330"/>
      <c r="B45" s="330"/>
      <c r="C45" s="50" t="s">
        <v>111</v>
      </c>
      <c r="D45" s="50" t="s">
        <v>6</v>
      </c>
      <c r="E45" s="50" t="s">
        <v>7</v>
      </c>
      <c r="F45" s="50" t="s">
        <v>112</v>
      </c>
      <c r="G45" s="50" t="s">
        <v>9</v>
      </c>
      <c r="H45" s="50" t="s">
        <v>111</v>
      </c>
      <c r="I45" s="50" t="s">
        <v>6</v>
      </c>
      <c r="J45" s="50" t="s">
        <v>7</v>
      </c>
      <c r="K45" s="50" t="s">
        <v>112</v>
      </c>
      <c r="L45" s="50" t="s">
        <v>9</v>
      </c>
      <c r="M45" s="333"/>
      <c r="N45" s="27" t="s">
        <v>111</v>
      </c>
      <c r="O45" s="51" t="s">
        <v>6</v>
      </c>
      <c r="P45" s="51" t="s">
        <v>7</v>
      </c>
      <c r="Q45" s="51" t="s">
        <v>112</v>
      </c>
      <c r="R45" s="51" t="s">
        <v>9</v>
      </c>
      <c r="S45" s="52" t="s">
        <v>111</v>
      </c>
      <c r="T45" s="52" t="s">
        <v>6</v>
      </c>
      <c r="U45" s="52" t="s">
        <v>7</v>
      </c>
      <c r="V45" s="52" t="s">
        <v>112</v>
      </c>
      <c r="W45" s="52" t="s">
        <v>9</v>
      </c>
    </row>
    <row r="46" spans="1:23" s="55" customFormat="1" ht="13.5" hidden="1" customHeight="1" x14ac:dyDescent="0.2">
      <c r="A46" s="53">
        <v>1</v>
      </c>
      <c r="B46" s="54">
        <f t="shared" ref="B46" si="16">+A46+1</f>
        <v>2</v>
      </c>
      <c r="C46" s="54">
        <f>+B46+1</f>
        <v>3</v>
      </c>
      <c r="D46" s="54">
        <f t="shared" ref="D46:W46" si="17">+C46+1</f>
        <v>4</v>
      </c>
      <c r="E46" s="54">
        <f t="shared" si="17"/>
        <v>5</v>
      </c>
      <c r="F46" s="54">
        <f t="shared" si="17"/>
        <v>6</v>
      </c>
      <c r="G46" s="54">
        <f t="shared" si="17"/>
        <v>7</v>
      </c>
      <c r="H46" s="54">
        <f t="shared" si="17"/>
        <v>8</v>
      </c>
      <c r="I46" s="54">
        <f t="shared" si="17"/>
        <v>9</v>
      </c>
      <c r="J46" s="54">
        <f t="shared" si="17"/>
        <v>10</v>
      </c>
      <c r="K46" s="54">
        <f t="shared" si="17"/>
        <v>11</v>
      </c>
      <c r="L46" s="54">
        <f t="shared" si="17"/>
        <v>12</v>
      </c>
      <c r="M46" s="54">
        <f t="shared" si="17"/>
        <v>13</v>
      </c>
      <c r="N46" s="54">
        <f t="shared" si="17"/>
        <v>14</v>
      </c>
      <c r="O46" s="54">
        <f t="shared" si="17"/>
        <v>15</v>
      </c>
      <c r="P46" s="54">
        <f t="shared" si="17"/>
        <v>16</v>
      </c>
      <c r="Q46" s="54">
        <f t="shared" si="17"/>
        <v>17</v>
      </c>
      <c r="R46" s="54">
        <f t="shared" si="17"/>
        <v>18</v>
      </c>
      <c r="S46" s="54">
        <f t="shared" si="17"/>
        <v>19</v>
      </c>
      <c r="T46" s="54">
        <f t="shared" si="17"/>
        <v>20</v>
      </c>
      <c r="U46" s="54">
        <f t="shared" si="17"/>
        <v>21</v>
      </c>
      <c r="V46" s="54">
        <f t="shared" si="17"/>
        <v>22</v>
      </c>
      <c r="W46" s="54">
        <f t="shared" si="17"/>
        <v>23</v>
      </c>
    </row>
    <row r="47" spans="1:23" ht="15" customHeight="1" x14ac:dyDescent="0.2">
      <c r="A47" s="327" t="str">
        <f>П1.5!I4</f>
        <v>2 полугодие 2018г.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9"/>
    </row>
    <row r="48" spans="1:23" s="25" customFormat="1" x14ac:dyDescent="0.2">
      <c r="A48" s="259">
        <v>1</v>
      </c>
      <c r="B48" s="260" t="s">
        <v>16</v>
      </c>
      <c r="C48" s="61">
        <f>SUM(D48:F48)</f>
        <v>772.81299999999999</v>
      </c>
      <c r="D48" s="61">
        <f>D50+D51</f>
        <v>38.548999999999999</v>
      </c>
      <c r="E48" s="61">
        <f>SUM(E49:E52)</f>
        <v>4.7939999999999996</v>
      </c>
      <c r="F48" s="61">
        <f>F51+F52+F55+F50</f>
        <v>729.47</v>
      </c>
      <c r="G48" s="61"/>
      <c r="H48" s="296">
        <f>SUM(I48:K48)</f>
        <v>0.35799999999999998</v>
      </c>
      <c r="I48" s="296">
        <f>I50+I51</f>
        <v>4.2999999999999997E-2</v>
      </c>
      <c r="J48" s="296">
        <f>J50+J51</f>
        <v>0.01</v>
      </c>
      <c r="K48" s="296">
        <f>K51+K52+K55+K50</f>
        <v>0.30499999999999999</v>
      </c>
      <c r="L48" s="296"/>
      <c r="M48" s="231">
        <f>C48/H48</f>
        <v>2158.6955307262569</v>
      </c>
      <c r="N48" s="62"/>
      <c r="O48" s="232"/>
      <c r="P48" s="232"/>
      <c r="Q48" s="232"/>
      <c r="R48" s="232"/>
      <c r="S48" s="232"/>
      <c r="T48" s="232"/>
      <c r="U48" s="232"/>
      <c r="V48" s="232"/>
      <c r="W48" s="232"/>
    </row>
    <row r="49" spans="1:23" x14ac:dyDescent="0.2">
      <c r="A49" s="261" t="s">
        <v>59</v>
      </c>
      <c r="B49" s="262" t="s">
        <v>17</v>
      </c>
      <c r="C49" s="61"/>
      <c r="D49" s="56"/>
      <c r="E49" s="56"/>
      <c r="F49" s="56"/>
      <c r="G49" s="56"/>
      <c r="H49" s="294"/>
      <c r="I49" s="65"/>
      <c r="J49" s="65"/>
      <c r="K49" s="65"/>
      <c r="L49" s="56"/>
      <c r="M49" s="231"/>
      <c r="N49" s="62"/>
      <c r="O49" s="57"/>
      <c r="P49" s="57"/>
      <c r="Q49" s="57"/>
      <c r="R49" s="57"/>
      <c r="S49" s="58"/>
      <c r="T49" s="59"/>
      <c r="U49" s="59"/>
      <c r="V49" s="59"/>
      <c r="W49" s="59"/>
    </row>
    <row r="50" spans="1:23" s="25" customFormat="1" ht="13.5" customHeight="1" x14ac:dyDescent="0.2">
      <c r="A50" s="261" t="s">
        <v>113</v>
      </c>
      <c r="B50" s="262" t="s">
        <v>114</v>
      </c>
      <c r="C50" s="61">
        <f>D50+F50</f>
        <v>1.0169999999999999</v>
      </c>
      <c r="D50" s="56"/>
      <c r="E50" s="56"/>
      <c r="F50" s="56">
        <v>1.0169999999999999</v>
      </c>
      <c r="G50" s="56"/>
      <c r="H50" s="296">
        <f>I50+K50</f>
        <v>1E-3</v>
      </c>
      <c r="I50" s="297"/>
      <c r="J50" s="297"/>
      <c r="K50" s="297">
        <v>1E-3</v>
      </c>
      <c r="L50" s="297"/>
      <c r="M50" s="299">
        <f t="shared" ref="M50:M51" si="18">C50/H50</f>
        <v>1016.9999999999999</v>
      </c>
      <c r="N50" s="62"/>
      <c r="O50" s="57"/>
      <c r="P50" s="57"/>
      <c r="Q50" s="57"/>
      <c r="R50" s="57"/>
      <c r="S50" s="58"/>
      <c r="T50" s="59"/>
      <c r="U50" s="59"/>
      <c r="V50" s="59"/>
      <c r="W50" s="59"/>
    </row>
    <row r="51" spans="1:23" s="25" customFormat="1" x14ac:dyDescent="0.2">
      <c r="A51" s="261" t="s">
        <v>115</v>
      </c>
      <c r="B51" s="262" t="s">
        <v>116</v>
      </c>
      <c r="C51" s="61">
        <f>D51+F51+E51</f>
        <v>753.54899999999998</v>
      </c>
      <c r="D51" s="56">
        <v>38.548999999999999</v>
      </c>
      <c r="E51" s="56">
        <v>4.7939999999999996</v>
      </c>
      <c r="F51" s="56">
        <v>710.20600000000002</v>
      </c>
      <c r="G51" s="56"/>
      <c r="H51" s="296">
        <f>SUM(I51:K51)</f>
        <v>0.34699999999999998</v>
      </c>
      <c r="I51" s="297">
        <v>4.2999999999999997E-2</v>
      </c>
      <c r="J51" s="297">
        <v>0.01</v>
      </c>
      <c r="K51" s="297">
        <v>0.29399999999999998</v>
      </c>
      <c r="L51" s="297"/>
      <c r="M51" s="299">
        <f t="shared" si="18"/>
        <v>2171.6109510086458</v>
      </c>
      <c r="N51" s="62"/>
      <c r="O51" s="57"/>
      <c r="P51" s="57"/>
      <c r="Q51" s="57"/>
      <c r="R51" s="57"/>
      <c r="S51" s="58"/>
      <c r="T51" s="59"/>
      <c r="U51" s="59"/>
      <c r="V51" s="59"/>
      <c r="W51" s="59"/>
    </row>
    <row r="52" spans="1:23" s="25" customFormat="1" x14ac:dyDescent="0.2">
      <c r="A52" s="261" t="s">
        <v>117</v>
      </c>
      <c r="B52" s="262" t="s">
        <v>118</v>
      </c>
      <c r="C52" s="61">
        <f>SUM(D52:F52)</f>
        <v>0</v>
      </c>
      <c r="D52" s="56"/>
      <c r="E52" s="56"/>
      <c r="F52" s="56"/>
      <c r="G52" s="56"/>
      <c r="H52" s="296">
        <f>SUM(J52:K52)</f>
        <v>0</v>
      </c>
      <c r="I52" s="297"/>
      <c r="J52" s="297"/>
      <c r="K52" s="297"/>
      <c r="L52" s="297"/>
      <c r="M52" s="299"/>
      <c r="N52" s="62"/>
      <c r="O52" s="57"/>
      <c r="P52" s="57"/>
      <c r="Q52" s="57"/>
      <c r="R52" s="57"/>
      <c r="S52" s="58"/>
      <c r="T52" s="59"/>
      <c r="U52" s="59"/>
      <c r="V52" s="59"/>
      <c r="W52" s="59"/>
    </row>
    <row r="53" spans="1:23" s="25" customFormat="1" x14ac:dyDescent="0.2">
      <c r="A53" s="261" t="s">
        <v>60</v>
      </c>
      <c r="B53" s="262" t="s">
        <v>18</v>
      </c>
      <c r="C53" s="61"/>
      <c r="D53" s="56"/>
      <c r="E53" s="56"/>
      <c r="F53" s="56"/>
      <c r="G53" s="56"/>
      <c r="H53" s="296"/>
      <c r="I53" s="297"/>
      <c r="J53" s="297"/>
      <c r="K53" s="297"/>
      <c r="L53" s="297"/>
      <c r="M53" s="299"/>
      <c r="N53" s="62"/>
      <c r="O53" s="57"/>
      <c r="P53" s="57"/>
      <c r="Q53" s="57"/>
      <c r="R53" s="57"/>
      <c r="S53" s="58"/>
      <c r="T53" s="59"/>
      <c r="U53" s="59"/>
      <c r="V53" s="59"/>
      <c r="W53" s="59"/>
    </row>
    <row r="54" spans="1:23" s="25" customFormat="1" x14ac:dyDescent="0.2">
      <c r="A54" s="261" t="s">
        <v>119</v>
      </c>
      <c r="B54" s="262" t="s">
        <v>114</v>
      </c>
      <c r="C54" s="61"/>
      <c r="D54" s="56"/>
      <c r="E54" s="56"/>
      <c r="F54" s="56"/>
      <c r="G54" s="56"/>
      <c r="H54" s="296"/>
      <c r="I54" s="297"/>
      <c r="J54" s="297"/>
      <c r="K54" s="297"/>
      <c r="L54" s="297"/>
      <c r="M54" s="299"/>
      <c r="N54" s="62"/>
      <c r="O54" s="57"/>
      <c r="P54" s="57"/>
      <c r="Q54" s="57"/>
      <c r="R54" s="57"/>
      <c r="S54" s="58"/>
      <c r="T54" s="59"/>
      <c r="U54" s="59"/>
      <c r="V54" s="59"/>
      <c r="W54" s="59"/>
    </row>
    <row r="55" spans="1:23" s="25" customFormat="1" x14ac:dyDescent="0.2">
      <c r="A55" s="261" t="s">
        <v>120</v>
      </c>
      <c r="B55" s="262" t="s">
        <v>121</v>
      </c>
      <c r="C55" s="61">
        <f>D55+F55</f>
        <v>18.247</v>
      </c>
      <c r="D55" s="56"/>
      <c r="E55" s="56"/>
      <c r="F55" s="56">
        <v>18.247</v>
      </c>
      <c r="G55" s="56"/>
      <c r="H55" s="296">
        <f>I55+K55</f>
        <v>0.01</v>
      </c>
      <c r="I55" s="297"/>
      <c r="J55" s="297"/>
      <c r="K55" s="297">
        <v>0.01</v>
      </c>
      <c r="L55" s="297"/>
      <c r="M55" s="299">
        <f t="shared" ref="M55:M56" si="19">C55/H55</f>
        <v>1824.7</v>
      </c>
      <c r="N55" s="62"/>
      <c r="O55" s="232"/>
      <c r="P55" s="232"/>
      <c r="Q55" s="232"/>
      <c r="R55" s="232"/>
      <c r="S55" s="232"/>
      <c r="T55" s="232"/>
      <c r="U55" s="232"/>
      <c r="V55" s="232"/>
      <c r="W55" s="232"/>
    </row>
    <row r="56" spans="1:23" s="25" customFormat="1" x14ac:dyDescent="0.2">
      <c r="A56" s="259" t="s">
        <v>19</v>
      </c>
      <c r="B56" s="263" t="s">
        <v>20</v>
      </c>
      <c r="C56" s="61">
        <f>C61+C65</f>
        <v>311900.40299999999</v>
      </c>
      <c r="D56" s="61">
        <f>D61+D65</f>
        <v>127310.71500000001</v>
      </c>
      <c r="E56" s="61">
        <f>E61+E65</f>
        <v>173175</v>
      </c>
      <c r="F56" s="61">
        <f>F61+F65</f>
        <v>11414.687999999998</v>
      </c>
      <c r="G56" s="61"/>
      <c r="H56" s="296">
        <f t="shared" ref="H56" si="20">I56+J56+K56</f>
        <v>82.251000000000005</v>
      </c>
      <c r="I56" s="296">
        <f>I61+I65</f>
        <v>35.435000000000002</v>
      </c>
      <c r="J56" s="296">
        <f>J61+J65</f>
        <v>43.952999999999996</v>
      </c>
      <c r="K56" s="296">
        <f>K61+K65</f>
        <v>2.863</v>
      </c>
      <c r="L56" s="61"/>
      <c r="M56" s="231">
        <f t="shared" si="19"/>
        <v>3792.0560601086913</v>
      </c>
      <c r="N56" s="62"/>
      <c r="O56" s="232"/>
      <c r="P56" s="232"/>
      <c r="Q56" s="232"/>
      <c r="R56" s="232"/>
      <c r="S56" s="232"/>
      <c r="T56" s="232"/>
      <c r="U56" s="232"/>
      <c r="V56" s="232"/>
      <c r="W56" s="232"/>
    </row>
    <row r="57" spans="1:23" s="25" customFormat="1" x14ac:dyDescent="0.2">
      <c r="A57" s="261" t="s">
        <v>77</v>
      </c>
      <c r="B57" s="60" t="s">
        <v>122</v>
      </c>
      <c r="C57" s="61"/>
      <c r="D57" s="61"/>
      <c r="E57" s="61"/>
      <c r="F57" s="61"/>
      <c r="G57" s="61"/>
      <c r="H57" s="294"/>
      <c r="I57" s="294"/>
      <c r="J57" s="294"/>
      <c r="K57" s="294"/>
      <c r="L57" s="61"/>
      <c r="M57" s="231"/>
      <c r="N57" s="62"/>
      <c r="O57" s="232"/>
      <c r="P57" s="232"/>
      <c r="Q57" s="232"/>
      <c r="R57" s="232"/>
      <c r="S57" s="232"/>
      <c r="T57" s="232"/>
      <c r="U57" s="232"/>
      <c r="V57" s="232"/>
      <c r="W57" s="232"/>
    </row>
    <row r="58" spans="1:23" x14ac:dyDescent="0.2">
      <c r="A58" s="264"/>
      <c r="B58" s="60" t="s">
        <v>123</v>
      </c>
      <c r="C58" s="61"/>
      <c r="D58" s="56"/>
      <c r="E58" s="56"/>
      <c r="F58" s="56"/>
      <c r="G58" s="56"/>
      <c r="H58" s="294"/>
      <c r="I58" s="65"/>
      <c r="J58" s="65"/>
      <c r="K58" s="65"/>
      <c r="L58" s="56"/>
      <c r="M58" s="231"/>
      <c r="N58" s="62"/>
      <c r="O58" s="57"/>
      <c r="P58" s="57"/>
      <c r="Q58" s="57"/>
      <c r="R58" s="57"/>
      <c r="S58" s="63"/>
      <c r="T58" s="59"/>
      <c r="U58" s="59"/>
      <c r="V58" s="59"/>
      <c r="W58" s="59"/>
    </row>
    <row r="59" spans="1:23" x14ac:dyDescent="0.2">
      <c r="A59" s="264"/>
      <c r="B59" s="60" t="s">
        <v>124</v>
      </c>
      <c r="C59" s="61"/>
      <c r="D59" s="56"/>
      <c r="E59" s="56"/>
      <c r="F59" s="56"/>
      <c r="G59" s="56"/>
      <c r="H59" s="294"/>
      <c r="I59" s="65"/>
      <c r="J59" s="65"/>
      <c r="K59" s="65"/>
      <c r="L59" s="56"/>
      <c r="M59" s="231"/>
      <c r="N59" s="62"/>
      <c r="O59" s="57"/>
      <c r="P59" s="57"/>
      <c r="Q59" s="57"/>
      <c r="R59" s="57"/>
      <c r="S59" s="63"/>
      <c r="T59" s="59"/>
      <c r="U59" s="59"/>
      <c r="V59" s="59"/>
      <c r="W59" s="59"/>
    </row>
    <row r="60" spans="1:23" s="47" customFormat="1" x14ac:dyDescent="0.2">
      <c r="A60" s="261"/>
      <c r="B60" s="60" t="s">
        <v>125</v>
      </c>
      <c r="C60" s="61"/>
      <c r="D60" s="56"/>
      <c r="E60" s="56"/>
      <c r="F60" s="56"/>
      <c r="G60" s="56"/>
      <c r="H60" s="294"/>
      <c r="I60" s="65"/>
      <c r="J60" s="65"/>
      <c r="K60" s="65"/>
      <c r="L60" s="56"/>
      <c r="M60" s="231"/>
      <c r="N60" s="62"/>
      <c r="O60" s="57"/>
      <c r="P60" s="57"/>
      <c r="Q60" s="57"/>
      <c r="R60" s="57"/>
      <c r="S60" s="63"/>
      <c r="T60" s="59"/>
      <c r="U60" s="59"/>
      <c r="V60" s="59"/>
      <c r="W60" s="59"/>
    </row>
    <row r="61" spans="1:23" s="25" customFormat="1" x14ac:dyDescent="0.2">
      <c r="A61" s="261" t="s">
        <v>81</v>
      </c>
      <c r="B61" s="265" t="s">
        <v>126</v>
      </c>
      <c r="C61" s="61">
        <f t="shared" ref="C61" si="21">D61+E61+F61</f>
        <v>19260.060999999998</v>
      </c>
      <c r="D61" s="296">
        <f>SUM(D62:D64)</f>
        <v>13058.035</v>
      </c>
      <c r="E61" s="296">
        <f>SUM(E62:E64)</f>
        <v>4057.5289999999995</v>
      </c>
      <c r="F61" s="296">
        <f>SUM(F62:F64)</f>
        <v>2144.4969999999998</v>
      </c>
      <c r="G61" s="296"/>
      <c r="H61" s="296">
        <f t="shared" ref="H61" si="22">I61+J61+K61</f>
        <v>7.0390000000000006</v>
      </c>
      <c r="I61" s="296">
        <f>SUM(I62:I64)</f>
        <v>5.141</v>
      </c>
      <c r="J61" s="296">
        <f>SUM(J62:J64)</f>
        <v>1.48</v>
      </c>
      <c r="K61" s="296">
        <f>SUM(K62:K64)</f>
        <v>0.41799999999999998</v>
      </c>
      <c r="L61" s="296"/>
      <c r="M61" s="231">
        <f t="shared" ref="M61" si="23">C61/H61</f>
        <v>2736.192783065776</v>
      </c>
      <c r="N61" s="62"/>
      <c r="O61" s="232"/>
      <c r="P61" s="232"/>
      <c r="Q61" s="232"/>
      <c r="R61" s="232"/>
      <c r="S61" s="232"/>
      <c r="T61" s="232"/>
      <c r="U61" s="232"/>
      <c r="V61" s="232"/>
      <c r="W61" s="232"/>
    </row>
    <row r="62" spans="1:23" s="47" customFormat="1" x14ac:dyDescent="0.2">
      <c r="A62" s="261"/>
      <c r="B62" s="266" t="s">
        <v>280</v>
      </c>
      <c r="C62" s="61">
        <f t="shared" ref="C62:C64" si="24">D62+E62+F62</f>
        <v>10549.620999999999</v>
      </c>
      <c r="D62" s="298">
        <v>7319.4290000000001</v>
      </c>
      <c r="E62" s="298">
        <v>1085.6949999999999</v>
      </c>
      <c r="F62" s="298">
        <v>2144.4969999999998</v>
      </c>
      <c r="G62" s="297"/>
      <c r="H62" s="296">
        <f t="shared" ref="H62:H64" si="25">I62+J62+K62</f>
        <v>4.1369999999999996</v>
      </c>
      <c r="I62" s="64">
        <v>3.2389999999999999</v>
      </c>
      <c r="J62" s="64">
        <v>0.48</v>
      </c>
      <c r="K62" s="64">
        <v>0.41799999999999998</v>
      </c>
      <c r="L62" s="56"/>
      <c r="M62" s="231">
        <f t="shared" ref="M62:M79" si="26">C62/H62</f>
        <v>2550.0655064056082</v>
      </c>
      <c r="N62" s="62"/>
      <c r="O62" s="66"/>
      <c r="P62" s="66"/>
      <c r="Q62" s="66"/>
      <c r="R62" s="66"/>
      <c r="S62" s="63"/>
      <c r="T62" s="59"/>
      <c r="U62" s="59"/>
      <c r="V62" s="59"/>
      <c r="W62" s="59"/>
    </row>
    <row r="63" spans="1:23" s="47" customFormat="1" x14ac:dyDescent="0.2">
      <c r="A63" s="261"/>
      <c r="B63" s="266" t="s">
        <v>284</v>
      </c>
      <c r="C63" s="61">
        <f t="shared" si="24"/>
        <v>5738.6059999999998</v>
      </c>
      <c r="D63" s="64">
        <v>5738.6059999999998</v>
      </c>
      <c r="E63" s="64"/>
      <c r="F63" s="64"/>
      <c r="G63" s="56"/>
      <c r="H63" s="296">
        <f t="shared" si="25"/>
        <v>1.9019999999999999</v>
      </c>
      <c r="I63" s="64">
        <v>1.9019999999999999</v>
      </c>
      <c r="J63" s="64"/>
      <c r="K63" s="64"/>
      <c r="L63" s="56"/>
      <c r="M63" s="231">
        <f t="shared" si="26"/>
        <v>3017.143007360673</v>
      </c>
      <c r="N63" s="62"/>
      <c r="O63" s="66"/>
      <c r="P63" s="66"/>
      <c r="Q63" s="66"/>
      <c r="R63" s="66"/>
      <c r="S63" s="63"/>
      <c r="T63" s="63"/>
      <c r="U63" s="59"/>
      <c r="V63" s="59"/>
      <c r="W63" s="59"/>
    </row>
    <row r="64" spans="1:23" s="47" customFormat="1" x14ac:dyDescent="0.2">
      <c r="A64" s="261"/>
      <c r="B64" s="60" t="s">
        <v>286</v>
      </c>
      <c r="C64" s="61">
        <f t="shared" si="24"/>
        <v>2971.8339999999998</v>
      </c>
      <c r="D64" s="56"/>
      <c r="E64" s="56">
        <v>2971.8339999999998</v>
      </c>
      <c r="F64" s="56"/>
      <c r="G64" s="56"/>
      <c r="H64" s="296">
        <f t="shared" si="25"/>
        <v>1</v>
      </c>
      <c r="I64" s="56"/>
      <c r="J64" s="56">
        <v>1</v>
      </c>
      <c r="K64" s="56"/>
      <c r="L64" s="56"/>
      <c r="M64" s="231">
        <f t="shared" si="26"/>
        <v>2971.8339999999998</v>
      </c>
      <c r="N64" s="62"/>
      <c r="O64" s="66"/>
      <c r="P64" s="66"/>
      <c r="Q64" s="66"/>
      <c r="R64" s="66"/>
      <c r="S64" s="63"/>
      <c r="T64" s="59"/>
      <c r="U64" s="59"/>
      <c r="V64" s="59"/>
      <c r="W64" s="59"/>
    </row>
    <row r="65" spans="1:23" s="25" customFormat="1" x14ac:dyDescent="0.2">
      <c r="A65" s="261" t="s">
        <v>127</v>
      </c>
      <c r="B65" s="265" t="s">
        <v>128</v>
      </c>
      <c r="C65" s="61">
        <f>D65+E65+F65</f>
        <v>292640.342</v>
      </c>
      <c r="D65" s="61">
        <f>SUM(D66:D71)</f>
        <v>114252.68000000001</v>
      </c>
      <c r="E65" s="61">
        <f>SUM(E66:E71)</f>
        <v>169117.47099999999</v>
      </c>
      <c r="F65" s="61">
        <f>SUM(F66:F71)</f>
        <v>9270.1909999999989</v>
      </c>
      <c r="G65" s="61"/>
      <c r="H65" s="296">
        <f>I65+J65+K65</f>
        <v>75.211999999999989</v>
      </c>
      <c r="I65" s="61">
        <f>SUM(I66:I71)</f>
        <v>30.294</v>
      </c>
      <c r="J65" s="61">
        <f>SUM(J66:J71)</f>
        <v>42.472999999999999</v>
      </c>
      <c r="K65" s="61">
        <f>SUM(K66:K71)</f>
        <v>2.4449999999999998</v>
      </c>
      <c r="L65" s="61"/>
      <c r="M65" s="231">
        <f t="shared" si="26"/>
        <v>3890.8730255810251</v>
      </c>
      <c r="N65" s="62"/>
      <c r="O65" s="232"/>
      <c r="P65" s="232"/>
      <c r="Q65" s="232"/>
      <c r="R65" s="232"/>
      <c r="S65" s="232"/>
      <c r="T65" s="232"/>
      <c r="U65" s="232"/>
      <c r="V65" s="232"/>
      <c r="W65" s="232"/>
    </row>
    <row r="66" spans="1:23" s="25" customFormat="1" x14ac:dyDescent="0.2">
      <c r="A66" s="261"/>
      <c r="B66" s="266" t="s">
        <v>281</v>
      </c>
      <c r="C66" s="61">
        <f>D66+F66+E66</f>
        <v>32030.891</v>
      </c>
      <c r="D66" s="56">
        <v>24561.629000000001</v>
      </c>
      <c r="E66" s="56"/>
      <c r="F66" s="56">
        <v>7469.2619999999997</v>
      </c>
      <c r="G66" s="56"/>
      <c r="H66" s="296">
        <f t="shared" ref="H66:H78" si="27">I66+J66+K66</f>
        <v>8.3949999999999996</v>
      </c>
      <c r="I66" s="64">
        <v>6.444</v>
      </c>
      <c r="J66" s="64"/>
      <c r="K66" s="64">
        <v>1.9510000000000001</v>
      </c>
      <c r="L66" s="56"/>
      <c r="M66" s="231">
        <f t="shared" si="26"/>
        <v>3815.4724240619416</v>
      </c>
      <c r="N66" s="62"/>
      <c r="O66" s="232"/>
      <c r="P66" s="232"/>
      <c r="Q66" s="232"/>
      <c r="R66" s="232"/>
      <c r="S66" s="232"/>
      <c r="T66" s="232"/>
      <c r="U66" s="232"/>
      <c r="V66" s="232"/>
      <c r="W66" s="232"/>
    </row>
    <row r="67" spans="1:23" s="47" customFormat="1" ht="14.25" customHeight="1" x14ac:dyDescent="0.2">
      <c r="A67" s="261"/>
      <c r="B67" s="266" t="s">
        <v>285</v>
      </c>
      <c r="C67" s="296">
        <f t="shared" ref="C67" si="28">D67+E67+F67</f>
        <v>6083.7240000000002</v>
      </c>
      <c r="D67" s="298">
        <v>2714.6550000000002</v>
      </c>
      <c r="E67" s="298">
        <v>3369.069</v>
      </c>
      <c r="F67" s="298"/>
      <c r="G67" s="297"/>
      <c r="H67" s="296">
        <f>I67+J67+K67</f>
        <v>1.4180000000000001</v>
      </c>
      <c r="I67" s="64">
        <v>0.63200000000000001</v>
      </c>
      <c r="J67" s="64">
        <v>0.78600000000000003</v>
      </c>
      <c r="K67" s="64"/>
      <c r="L67" s="56"/>
      <c r="M67" s="299">
        <f t="shared" si="26"/>
        <v>4290.3554301833565</v>
      </c>
      <c r="N67" s="62"/>
      <c r="O67" s="66"/>
      <c r="P67" s="66"/>
      <c r="Q67" s="66"/>
      <c r="R67" s="66"/>
      <c r="S67" s="63"/>
      <c r="T67" s="63"/>
      <c r="U67" s="63"/>
      <c r="V67" s="63"/>
      <c r="W67" s="59"/>
    </row>
    <row r="68" spans="1:23" s="47" customFormat="1" ht="14.25" customHeight="1" x14ac:dyDescent="0.2">
      <c r="A68" s="261"/>
      <c r="B68" s="266" t="s">
        <v>282</v>
      </c>
      <c r="C68" s="61">
        <f t="shared" ref="C68:C70" si="29">D68+F68+E68</f>
        <v>8226.7919999999995</v>
      </c>
      <c r="D68" s="56">
        <v>8226.7919999999995</v>
      </c>
      <c r="E68" s="56"/>
      <c r="F68" s="56"/>
      <c r="G68" s="56"/>
      <c r="H68" s="296">
        <f t="shared" ref="H68:H71" si="30">I68+J68+K68</f>
        <v>2.3650000000000002</v>
      </c>
      <c r="I68" s="56">
        <v>2.3650000000000002</v>
      </c>
      <c r="J68" s="56"/>
      <c r="K68" s="56"/>
      <c r="L68" s="56"/>
      <c r="M68" s="231">
        <f t="shared" si="26"/>
        <v>3478.5589852008452</v>
      </c>
      <c r="N68" s="62"/>
      <c r="O68" s="66"/>
      <c r="P68" s="66"/>
      <c r="Q68" s="66"/>
      <c r="R68" s="66"/>
      <c r="S68" s="63"/>
      <c r="T68" s="63"/>
      <c r="U68" s="63"/>
      <c r="V68" s="63"/>
      <c r="W68" s="59"/>
    </row>
    <row r="69" spans="1:23" s="47" customFormat="1" ht="14.25" customHeight="1" x14ac:dyDescent="0.2">
      <c r="A69" s="261"/>
      <c r="B69" s="266" t="s">
        <v>283</v>
      </c>
      <c r="C69" s="61">
        <f t="shared" si="29"/>
        <v>6274.22</v>
      </c>
      <c r="D69" s="56">
        <v>6274.22</v>
      </c>
      <c r="E69" s="56"/>
      <c r="F69" s="56"/>
      <c r="G69" s="56"/>
      <c r="H69" s="296">
        <f t="shared" si="30"/>
        <v>1.536</v>
      </c>
      <c r="I69" s="56">
        <v>1.536</v>
      </c>
      <c r="J69" s="56"/>
      <c r="K69" s="56"/>
      <c r="L69" s="56"/>
      <c r="M69" s="231">
        <f t="shared" si="26"/>
        <v>4084.7786458333335</v>
      </c>
      <c r="N69" s="62"/>
      <c r="O69" s="66"/>
      <c r="P69" s="66"/>
      <c r="Q69" s="66"/>
      <c r="R69" s="66"/>
      <c r="S69" s="63"/>
      <c r="T69" s="63"/>
      <c r="U69" s="63"/>
      <c r="V69" s="63"/>
      <c r="W69" s="59"/>
    </row>
    <row r="70" spans="1:23" s="47" customFormat="1" ht="14.25" customHeight="1" x14ac:dyDescent="0.2">
      <c r="A70" s="261"/>
      <c r="B70" s="303" t="s">
        <v>320</v>
      </c>
      <c r="C70" s="61">
        <f t="shared" si="29"/>
        <v>218879.147</v>
      </c>
      <c r="D70" s="56">
        <v>51630.451000000001</v>
      </c>
      <c r="E70" s="56">
        <v>165470.981</v>
      </c>
      <c r="F70" s="56">
        <v>1777.7149999999999</v>
      </c>
      <c r="G70" s="56"/>
      <c r="H70" s="296">
        <f t="shared" si="30"/>
        <v>55.932999999999993</v>
      </c>
      <c r="I70" s="56">
        <v>13.831</v>
      </c>
      <c r="J70" s="56">
        <v>41.613999999999997</v>
      </c>
      <c r="K70" s="56">
        <v>0.48799999999999999</v>
      </c>
      <c r="L70" s="56"/>
      <c r="M70" s="231">
        <f t="shared" si="26"/>
        <v>3913.2381063057592</v>
      </c>
      <c r="N70" s="62"/>
      <c r="O70" s="66"/>
      <c r="P70" s="66"/>
      <c r="Q70" s="66"/>
      <c r="R70" s="66"/>
      <c r="S70" s="63"/>
      <c r="T70" s="63"/>
      <c r="U70" s="63"/>
      <c r="V70" s="63"/>
      <c r="W70" s="59"/>
    </row>
    <row r="71" spans="1:23" s="47" customFormat="1" ht="14.25" customHeight="1" x14ac:dyDescent="0.2">
      <c r="A71" s="261"/>
      <c r="B71" s="266" t="s">
        <v>321</v>
      </c>
      <c r="C71" s="61">
        <f>D71+F71+E71</f>
        <v>21145.567999999999</v>
      </c>
      <c r="D71" s="297">
        <v>20844.933000000001</v>
      </c>
      <c r="E71" s="297">
        <v>277.42099999999999</v>
      </c>
      <c r="F71" s="297">
        <v>23.213999999999999</v>
      </c>
      <c r="G71" s="56"/>
      <c r="H71" s="296">
        <f t="shared" si="30"/>
        <v>5.5650000000000004</v>
      </c>
      <c r="I71" s="56">
        <v>5.4859999999999998</v>
      </c>
      <c r="J71" s="56">
        <v>7.2999999999999995E-2</v>
      </c>
      <c r="K71" s="56">
        <v>6.0000000000000001E-3</v>
      </c>
      <c r="L71" s="56"/>
      <c r="M71" s="231">
        <f t="shared" si="26"/>
        <v>3799.7426774483374</v>
      </c>
      <c r="N71" s="62"/>
      <c r="O71" s="66"/>
      <c r="P71" s="66"/>
      <c r="Q71" s="66"/>
      <c r="R71" s="66"/>
      <c r="S71" s="63"/>
      <c r="T71" s="63"/>
      <c r="U71" s="63"/>
      <c r="V71" s="63"/>
      <c r="W71" s="59"/>
    </row>
    <row r="72" spans="1:23" x14ac:dyDescent="0.2">
      <c r="A72" s="267" t="s">
        <v>129</v>
      </c>
      <c r="B72" s="268" t="s">
        <v>130</v>
      </c>
      <c r="C72" s="61">
        <f>D72+E72+F72</f>
        <v>33271.126000000004</v>
      </c>
      <c r="D72" s="61">
        <f>SUM(D73:D78)</f>
        <v>0</v>
      </c>
      <c r="E72" s="61">
        <f t="shared" ref="E72:F72" si="31">SUM(E73:E78)</f>
        <v>33192.895000000004</v>
      </c>
      <c r="F72" s="61">
        <f t="shared" si="31"/>
        <v>78.230999999999995</v>
      </c>
      <c r="G72" s="61"/>
      <c r="H72" s="296">
        <f t="shared" si="27"/>
        <v>11.825999999999999</v>
      </c>
      <c r="I72" s="61">
        <f>SUM(I73:I78)</f>
        <v>0</v>
      </c>
      <c r="J72" s="61">
        <f t="shared" ref="J72" si="32">SUM(J73:J78)</f>
        <v>11.803999999999998</v>
      </c>
      <c r="K72" s="61">
        <f t="shared" ref="K72" si="33">SUM(K73:K78)</f>
        <v>2.1999999999999999E-2</v>
      </c>
      <c r="L72" s="61"/>
      <c r="M72" s="231">
        <f t="shared" si="26"/>
        <v>2813.3879587349911</v>
      </c>
      <c r="N72" s="62"/>
      <c r="O72" s="232"/>
      <c r="P72" s="232"/>
      <c r="Q72" s="232"/>
      <c r="R72" s="232"/>
      <c r="S72" s="232"/>
      <c r="T72" s="232"/>
      <c r="U72" s="232"/>
      <c r="V72" s="232"/>
      <c r="W72" s="232"/>
    </row>
    <row r="73" spans="1:23" s="47" customFormat="1" x14ac:dyDescent="0.2">
      <c r="A73" s="261"/>
      <c r="B73" s="266" t="s">
        <v>287</v>
      </c>
      <c r="C73" s="61">
        <f>D73+E73+F73</f>
        <v>78.230999999999995</v>
      </c>
      <c r="D73" s="56">
        <v>0</v>
      </c>
      <c r="E73" s="56">
        <v>0</v>
      </c>
      <c r="F73" s="56">
        <v>78.230999999999995</v>
      </c>
      <c r="G73" s="56"/>
      <c r="H73" s="296">
        <f t="shared" si="27"/>
        <v>2.1999999999999999E-2</v>
      </c>
      <c r="I73" s="297">
        <v>0</v>
      </c>
      <c r="J73" s="297">
        <v>0</v>
      </c>
      <c r="K73" s="297">
        <v>2.1999999999999999E-2</v>
      </c>
      <c r="L73" s="56"/>
      <c r="M73" s="231">
        <f t="shared" si="26"/>
        <v>3555.9545454545455</v>
      </c>
      <c r="N73" s="62"/>
      <c r="O73" s="57"/>
      <c r="P73" s="57"/>
      <c r="Q73" s="57"/>
      <c r="R73" s="57"/>
      <c r="S73" s="63"/>
      <c r="T73" s="59"/>
      <c r="U73" s="59"/>
      <c r="V73" s="59"/>
      <c r="W73" s="59"/>
    </row>
    <row r="74" spans="1:23" s="47" customFormat="1" x14ac:dyDescent="0.2">
      <c r="A74" s="261"/>
      <c r="B74" s="266" t="s">
        <v>312</v>
      </c>
      <c r="C74" s="61">
        <f t="shared" ref="C74:C75" si="34">D74+E74+F74</f>
        <v>29502.755000000001</v>
      </c>
      <c r="D74" s="56"/>
      <c r="E74" s="56">
        <v>29502.755000000001</v>
      </c>
      <c r="F74" s="56"/>
      <c r="G74" s="56"/>
      <c r="H74" s="296">
        <f t="shared" si="27"/>
        <v>10.603999999999999</v>
      </c>
      <c r="I74" s="297"/>
      <c r="J74" s="297">
        <v>10.603999999999999</v>
      </c>
      <c r="K74" s="297"/>
      <c r="L74" s="56"/>
      <c r="M74" s="231">
        <f t="shared" si="26"/>
        <v>2782.2288758958885</v>
      </c>
      <c r="N74" s="62"/>
      <c r="O74" s="57"/>
      <c r="P74" s="57"/>
      <c r="Q74" s="57"/>
      <c r="R74" s="57"/>
      <c r="S74" s="63"/>
      <c r="T74" s="59"/>
      <c r="U74" s="59"/>
      <c r="V74" s="59"/>
      <c r="W74" s="59"/>
    </row>
    <row r="75" spans="1:23" s="47" customFormat="1" x14ac:dyDescent="0.2">
      <c r="A75" s="261"/>
      <c r="B75" s="266" t="s">
        <v>288</v>
      </c>
      <c r="C75" s="61">
        <f t="shared" si="34"/>
        <v>3690.14</v>
      </c>
      <c r="D75" s="56"/>
      <c r="E75" s="56">
        <v>3690.14</v>
      </c>
      <c r="F75" s="56"/>
      <c r="G75" s="56"/>
      <c r="H75" s="296">
        <f t="shared" si="27"/>
        <v>1.2</v>
      </c>
      <c r="I75" s="297"/>
      <c r="J75" s="297">
        <v>1.2</v>
      </c>
      <c r="K75" s="297"/>
      <c r="L75" s="56"/>
      <c r="M75" s="231">
        <f t="shared" si="26"/>
        <v>3075.1166666666668</v>
      </c>
      <c r="N75" s="62"/>
      <c r="O75" s="57"/>
      <c r="P75" s="57"/>
      <c r="Q75" s="57"/>
      <c r="R75" s="57"/>
      <c r="S75" s="63"/>
      <c r="T75" s="59"/>
      <c r="U75" s="59"/>
      <c r="V75" s="59"/>
      <c r="W75" s="59"/>
    </row>
    <row r="76" spans="1:23" s="47" customFormat="1" hidden="1" x14ac:dyDescent="0.2">
      <c r="A76" s="261"/>
      <c r="B76" s="266"/>
      <c r="C76" s="61"/>
      <c r="D76" s="56"/>
      <c r="E76" s="56"/>
      <c r="F76" s="56"/>
      <c r="G76" s="56"/>
      <c r="H76" s="296"/>
      <c r="I76" s="297"/>
      <c r="J76" s="297"/>
      <c r="K76" s="297"/>
      <c r="L76" s="56"/>
      <c r="M76" s="231"/>
      <c r="N76" s="62"/>
      <c r="O76" s="57"/>
      <c r="P76" s="57"/>
      <c r="Q76" s="57"/>
      <c r="R76" s="57"/>
      <c r="S76" s="63"/>
      <c r="T76" s="59"/>
      <c r="U76" s="59"/>
      <c r="V76" s="59"/>
      <c r="W76" s="59"/>
    </row>
    <row r="77" spans="1:23" s="47" customFormat="1" hidden="1" x14ac:dyDescent="0.2">
      <c r="A77" s="261"/>
      <c r="B77" s="266"/>
      <c r="C77" s="61"/>
      <c r="D77" s="56"/>
      <c r="E77" s="56"/>
      <c r="F77" s="56"/>
      <c r="G77" s="56"/>
      <c r="H77" s="296"/>
      <c r="I77" s="297"/>
      <c r="J77" s="297"/>
      <c r="K77" s="297"/>
      <c r="L77" s="56"/>
      <c r="M77" s="231"/>
      <c r="N77" s="62"/>
      <c r="O77" s="57"/>
      <c r="P77" s="57"/>
      <c r="Q77" s="57"/>
      <c r="R77" s="57"/>
      <c r="S77" s="63"/>
      <c r="T77" s="59"/>
      <c r="U77" s="63"/>
      <c r="V77" s="59"/>
      <c r="W77" s="59"/>
    </row>
    <row r="78" spans="1:23" s="47" customFormat="1" x14ac:dyDescent="0.2">
      <c r="A78" s="261"/>
      <c r="B78" s="266" t="s">
        <v>309</v>
      </c>
      <c r="C78" s="61">
        <f>D78+E78+F78</f>
        <v>0</v>
      </c>
      <c r="D78" s="56"/>
      <c r="E78" s="56"/>
      <c r="F78" s="56">
        <v>0</v>
      </c>
      <c r="G78" s="56"/>
      <c r="H78" s="296">
        <f t="shared" si="27"/>
        <v>0</v>
      </c>
      <c r="I78" s="297"/>
      <c r="J78" s="297"/>
      <c r="K78" s="297">
        <v>0</v>
      </c>
      <c r="L78" s="56"/>
      <c r="M78" s="231">
        <v>0</v>
      </c>
      <c r="N78" s="62"/>
      <c r="O78" s="57"/>
      <c r="P78" s="57"/>
      <c r="Q78" s="57"/>
      <c r="R78" s="57"/>
      <c r="S78" s="63"/>
      <c r="T78" s="59"/>
      <c r="U78" s="63"/>
      <c r="V78" s="59"/>
      <c r="W78" s="59"/>
    </row>
    <row r="79" spans="1:23" s="25" customFormat="1" x14ac:dyDescent="0.2">
      <c r="A79" s="267" t="s">
        <v>131</v>
      </c>
      <c r="B79" s="263" t="s">
        <v>132</v>
      </c>
      <c r="C79" s="61">
        <f t="shared" ref="C79:K79" si="35">C72+C56+C48</f>
        <v>345944.342</v>
      </c>
      <c r="D79" s="61">
        <f t="shared" si="35"/>
        <v>127349.26400000001</v>
      </c>
      <c r="E79" s="61">
        <f t="shared" si="35"/>
        <v>206372.68900000001</v>
      </c>
      <c r="F79" s="61">
        <f t="shared" si="35"/>
        <v>12222.388999999997</v>
      </c>
      <c r="G79" s="296">
        <f t="shared" si="35"/>
        <v>0</v>
      </c>
      <c r="H79" s="296">
        <f t="shared" si="35"/>
        <v>94.435000000000002</v>
      </c>
      <c r="I79" s="296">
        <f t="shared" si="35"/>
        <v>35.478000000000002</v>
      </c>
      <c r="J79" s="296">
        <f t="shared" si="35"/>
        <v>55.766999999999989</v>
      </c>
      <c r="K79" s="296">
        <f t="shared" si="35"/>
        <v>3.19</v>
      </c>
      <c r="L79" s="296"/>
      <c r="M79" s="231">
        <f t="shared" si="26"/>
        <v>3663.3064224069467</v>
      </c>
      <c r="N79" s="62"/>
      <c r="O79" s="232"/>
      <c r="P79" s="232"/>
      <c r="Q79" s="232"/>
      <c r="R79" s="232"/>
      <c r="S79" s="232"/>
      <c r="T79" s="232"/>
      <c r="U79" s="232"/>
      <c r="V79" s="232"/>
      <c r="W79" s="232"/>
    </row>
    <row r="80" spans="1:23" x14ac:dyDescent="0.2">
      <c r="H80" s="301"/>
      <c r="I80" s="286" t="e">
        <f>SUM(I48,I62,I71,#REF!,#REF!,#REF!)</f>
        <v>#REF!</v>
      </c>
      <c r="J80" s="286" t="e">
        <f>SUM(J48,J62,J71,#REF!,#REF!,#REF!)</f>
        <v>#REF!</v>
      </c>
      <c r="K80" s="286" t="e">
        <f>SUM(K48,K62,K71,#REF!,#REF!,#REF!)</f>
        <v>#REF!</v>
      </c>
    </row>
    <row r="81" spans="1:23" x14ac:dyDescent="0.2">
      <c r="H81" s="287">
        <f>H79-H72</f>
        <v>82.609000000000009</v>
      </c>
      <c r="I81" s="287">
        <f t="shared" ref="I81:K81" si="36">I79-I72</f>
        <v>35.478000000000002</v>
      </c>
      <c r="J81" s="287">
        <f t="shared" si="36"/>
        <v>43.962999999999994</v>
      </c>
      <c r="K81" s="287">
        <f t="shared" si="36"/>
        <v>3.1680000000000001</v>
      </c>
    </row>
    <row r="82" spans="1:23" hidden="1" x14ac:dyDescent="0.2"/>
    <row r="83" spans="1:23" hidden="1" x14ac:dyDescent="0.2"/>
    <row r="84" spans="1:23" s="25" customFormat="1" ht="25.5" hidden="1" customHeight="1" x14ac:dyDescent="0.2">
      <c r="A84" s="330" t="s">
        <v>105</v>
      </c>
      <c r="B84" s="330" t="s">
        <v>14</v>
      </c>
      <c r="C84" s="331" t="s">
        <v>106</v>
      </c>
      <c r="D84" s="331"/>
      <c r="E84" s="331"/>
      <c r="F84" s="331"/>
      <c r="G84" s="331"/>
      <c r="H84" s="332" t="s">
        <v>107</v>
      </c>
      <c r="I84" s="332"/>
      <c r="J84" s="332"/>
      <c r="K84" s="332"/>
      <c r="L84" s="332"/>
      <c r="M84" s="333" t="s">
        <v>108</v>
      </c>
      <c r="N84" s="334" t="s">
        <v>109</v>
      </c>
      <c r="O84" s="335"/>
      <c r="P84" s="335"/>
      <c r="Q84" s="335"/>
      <c r="R84" s="336"/>
      <c r="S84" s="326" t="s">
        <v>110</v>
      </c>
      <c r="T84" s="326"/>
      <c r="U84" s="326"/>
      <c r="V84" s="326"/>
      <c r="W84" s="326"/>
    </row>
    <row r="85" spans="1:23" s="25" customFormat="1" ht="18" hidden="1" customHeight="1" x14ac:dyDescent="0.2">
      <c r="A85" s="330"/>
      <c r="B85" s="330"/>
      <c r="C85" s="50" t="s">
        <v>111</v>
      </c>
      <c r="D85" s="50" t="s">
        <v>6</v>
      </c>
      <c r="E85" s="50" t="s">
        <v>7</v>
      </c>
      <c r="F85" s="50" t="s">
        <v>112</v>
      </c>
      <c r="G85" s="50" t="s">
        <v>9</v>
      </c>
      <c r="H85" s="50" t="s">
        <v>111</v>
      </c>
      <c r="I85" s="50" t="s">
        <v>6</v>
      </c>
      <c r="J85" s="50" t="s">
        <v>7</v>
      </c>
      <c r="K85" s="50" t="s">
        <v>112</v>
      </c>
      <c r="L85" s="50" t="s">
        <v>9</v>
      </c>
      <c r="M85" s="333"/>
      <c r="N85" s="27" t="s">
        <v>111</v>
      </c>
      <c r="O85" s="51" t="s">
        <v>6</v>
      </c>
      <c r="P85" s="51" t="s">
        <v>7</v>
      </c>
      <c r="Q85" s="51" t="s">
        <v>112</v>
      </c>
      <c r="R85" s="51" t="s">
        <v>9</v>
      </c>
      <c r="S85" s="52" t="s">
        <v>111</v>
      </c>
      <c r="T85" s="52" t="s">
        <v>6</v>
      </c>
      <c r="U85" s="52" t="s">
        <v>7</v>
      </c>
      <c r="V85" s="52" t="s">
        <v>112</v>
      </c>
      <c r="W85" s="52" t="s">
        <v>9</v>
      </c>
    </row>
    <row r="86" spans="1:23" s="55" customFormat="1" ht="13.5" hidden="1" customHeight="1" x14ac:dyDescent="0.2">
      <c r="A86" s="53">
        <v>1</v>
      </c>
      <c r="B86" s="54">
        <f t="shared" ref="B86" si="37">+A86+1</f>
        <v>2</v>
      </c>
      <c r="C86" s="54">
        <f>+B86+1</f>
        <v>3</v>
      </c>
      <c r="D86" s="54">
        <f t="shared" ref="D86:W86" si="38">+C86+1</f>
        <v>4</v>
      </c>
      <c r="E86" s="54">
        <f t="shared" si="38"/>
        <v>5</v>
      </c>
      <c r="F86" s="54">
        <f t="shared" si="38"/>
        <v>6</v>
      </c>
      <c r="G86" s="54">
        <f t="shared" si="38"/>
        <v>7</v>
      </c>
      <c r="H86" s="54">
        <f t="shared" si="38"/>
        <v>8</v>
      </c>
      <c r="I86" s="54">
        <f t="shared" si="38"/>
        <v>9</v>
      </c>
      <c r="J86" s="54">
        <f t="shared" si="38"/>
        <v>10</v>
      </c>
      <c r="K86" s="54">
        <f t="shared" si="38"/>
        <v>11</v>
      </c>
      <c r="L86" s="54">
        <f t="shared" si="38"/>
        <v>12</v>
      </c>
      <c r="M86" s="54">
        <f t="shared" si="38"/>
        <v>13</v>
      </c>
      <c r="N86" s="54">
        <f t="shared" si="38"/>
        <v>14</v>
      </c>
      <c r="O86" s="54">
        <f t="shared" si="38"/>
        <v>15</v>
      </c>
      <c r="P86" s="54">
        <f t="shared" si="38"/>
        <v>16</v>
      </c>
      <c r="Q86" s="54">
        <f t="shared" si="38"/>
        <v>17</v>
      </c>
      <c r="R86" s="54">
        <f t="shared" si="38"/>
        <v>18</v>
      </c>
      <c r="S86" s="54">
        <f t="shared" si="38"/>
        <v>19</v>
      </c>
      <c r="T86" s="54">
        <f t="shared" si="38"/>
        <v>20</v>
      </c>
      <c r="U86" s="54">
        <f t="shared" si="38"/>
        <v>21</v>
      </c>
      <c r="V86" s="54">
        <f t="shared" si="38"/>
        <v>22</v>
      </c>
      <c r="W86" s="54">
        <f t="shared" si="38"/>
        <v>23</v>
      </c>
    </row>
    <row r="87" spans="1:23" ht="15" customHeight="1" x14ac:dyDescent="0.2">
      <c r="A87" s="327" t="str">
        <f>П1.5!N4</f>
        <v>2018 год</v>
      </c>
      <c r="B87" s="328"/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9"/>
    </row>
    <row r="88" spans="1:23" s="25" customFormat="1" x14ac:dyDescent="0.2">
      <c r="A88" s="259">
        <v>1</v>
      </c>
      <c r="B88" s="260" t="s">
        <v>16</v>
      </c>
      <c r="C88" s="61">
        <f>SUM(D88:F88)</f>
        <v>1585.48</v>
      </c>
      <c r="D88" s="61">
        <f>D90+D91</f>
        <v>87.644000000000005</v>
      </c>
      <c r="E88" s="61">
        <f>SUM(E90:E94)</f>
        <v>9.2880000000000003</v>
      </c>
      <c r="F88" s="61">
        <f>F91+F92+F95+F90</f>
        <v>1488.548</v>
      </c>
      <c r="G88" s="61"/>
      <c r="H88" s="296">
        <f>SUM(I88:K88)</f>
        <v>0.376</v>
      </c>
      <c r="I88" s="296">
        <f>I90+I91</f>
        <v>4.4999999999999998E-2</v>
      </c>
      <c r="J88" s="296">
        <f>SUM(J89:J93)</f>
        <v>0.01</v>
      </c>
      <c r="K88" s="296">
        <f>K91+K92+K95+K90</f>
        <v>0.32100000000000001</v>
      </c>
      <c r="L88" s="296"/>
      <c r="M88" s="231">
        <f>C88/H88</f>
        <v>4216.7021276595742</v>
      </c>
      <c r="N88" s="62"/>
      <c r="O88" s="232"/>
      <c r="P88" s="232"/>
      <c r="Q88" s="232"/>
      <c r="R88" s="232"/>
      <c r="S88" s="232"/>
      <c r="T88" s="232"/>
      <c r="U88" s="232"/>
      <c r="V88" s="232"/>
      <c r="W88" s="232"/>
    </row>
    <row r="89" spans="1:23" x14ac:dyDescent="0.2">
      <c r="A89" s="261" t="s">
        <v>59</v>
      </c>
      <c r="B89" s="262" t="s">
        <v>17</v>
      </c>
      <c r="C89" s="61"/>
      <c r="D89" s="56"/>
      <c r="E89" s="56"/>
      <c r="F89" s="56"/>
      <c r="G89" s="56"/>
      <c r="H89" s="294"/>
      <c r="I89" s="65"/>
      <c r="J89" s="65"/>
      <c r="K89" s="65"/>
      <c r="L89" s="56"/>
      <c r="M89" s="231"/>
      <c r="N89" s="62"/>
      <c r="O89" s="57"/>
      <c r="P89" s="57"/>
      <c r="Q89" s="57"/>
      <c r="R89" s="57"/>
      <c r="S89" s="58"/>
      <c r="T89" s="59"/>
      <c r="U89" s="59"/>
      <c r="V89" s="59"/>
      <c r="W89" s="59"/>
    </row>
    <row r="90" spans="1:23" s="25" customFormat="1" ht="13.5" customHeight="1" x14ac:dyDescent="0.2">
      <c r="A90" s="261" t="s">
        <v>113</v>
      </c>
      <c r="B90" s="262" t="s">
        <v>114</v>
      </c>
      <c r="C90" s="61">
        <f>D90+F90</f>
        <v>12.468999999999999</v>
      </c>
      <c r="D90" s="56"/>
      <c r="E90" s="56"/>
      <c r="F90" s="56">
        <f>F50+F11</f>
        <v>12.468999999999999</v>
      </c>
      <c r="G90" s="56"/>
      <c r="H90" s="296">
        <f>I90+K90</f>
        <v>3.0000000000000001E-3</v>
      </c>
      <c r="I90" s="297"/>
      <c r="J90" s="65"/>
      <c r="K90" s="56">
        <v>3.0000000000000001E-3</v>
      </c>
      <c r="L90" s="56"/>
      <c r="M90" s="231">
        <f t="shared" ref="M90:M91" si="39">C90/H90</f>
        <v>4156.333333333333</v>
      </c>
      <c r="N90" s="62"/>
      <c r="O90" s="57"/>
      <c r="P90" s="57"/>
      <c r="Q90" s="57"/>
      <c r="R90" s="57"/>
      <c r="S90" s="58"/>
      <c r="T90" s="59"/>
      <c r="U90" s="59"/>
      <c r="V90" s="59"/>
      <c r="W90" s="59"/>
    </row>
    <row r="91" spans="1:23" s="25" customFormat="1" x14ac:dyDescent="0.2">
      <c r="A91" s="261" t="s">
        <v>115</v>
      </c>
      <c r="B91" s="262" t="s">
        <v>116</v>
      </c>
      <c r="C91" s="61">
        <f>D91+F91+E91</f>
        <v>1539.289</v>
      </c>
      <c r="D91" s="56">
        <f>D51+D12</f>
        <v>87.644000000000005</v>
      </c>
      <c r="E91" s="56">
        <f>E51+E12</f>
        <v>9.2880000000000003</v>
      </c>
      <c r="F91" s="56">
        <f>F51+F12</f>
        <v>1442.357</v>
      </c>
      <c r="G91" s="56"/>
      <c r="H91" s="296">
        <f>SUM(I91:K91)</f>
        <v>0.36299999999999999</v>
      </c>
      <c r="I91" s="297">
        <v>4.4999999999999998E-2</v>
      </c>
      <c r="J91" s="297">
        <v>0.01</v>
      </c>
      <c r="K91" s="297">
        <v>0.308</v>
      </c>
      <c r="L91" s="56"/>
      <c r="M91" s="231">
        <f t="shared" si="39"/>
        <v>4240.4655647382924</v>
      </c>
      <c r="N91" s="62"/>
      <c r="O91" s="57"/>
      <c r="P91" s="57"/>
      <c r="Q91" s="57"/>
      <c r="R91" s="57"/>
      <c r="S91" s="58"/>
      <c r="T91" s="59"/>
      <c r="U91" s="59"/>
      <c r="V91" s="59"/>
      <c r="W91" s="59"/>
    </row>
    <row r="92" spans="1:23" s="25" customFormat="1" x14ac:dyDescent="0.2">
      <c r="A92" s="261" t="s">
        <v>117</v>
      </c>
      <c r="B92" s="262" t="s">
        <v>118</v>
      </c>
      <c r="C92" s="61">
        <f>SUM(D92:F92)</f>
        <v>0</v>
      </c>
      <c r="D92" s="56"/>
      <c r="E92" s="56">
        <f>E52+E13</f>
        <v>0</v>
      </c>
      <c r="F92" s="56">
        <f>F52+F13</f>
        <v>0</v>
      </c>
      <c r="G92" s="56"/>
      <c r="H92" s="296">
        <f>I92+K92</f>
        <v>0</v>
      </c>
      <c r="I92" s="297"/>
      <c r="J92" s="297"/>
      <c r="K92" s="297"/>
      <c r="L92" s="56"/>
      <c r="M92" s="231"/>
      <c r="N92" s="62"/>
      <c r="O92" s="57"/>
      <c r="P92" s="57"/>
      <c r="Q92" s="57"/>
      <c r="R92" s="57"/>
      <c r="S92" s="58"/>
      <c r="T92" s="59"/>
      <c r="U92" s="59"/>
      <c r="V92" s="59"/>
      <c r="W92" s="59"/>
    </row>
    <row r="93" spans="1:23" s="25" customFormat="1" x14ac:dyDescent="0.2">
      <c r="A93" s="261" t="s">
        <v>60</v>
      </c>
      <c r="B93" s="262" t="s">
        <v>18</v>
      </c>
      <c r="C93" s="61"/>
      <c r="D93" s="56"/>
      <c r="E93" s="56"/>
      <c r="F93" s="56"/>
      <c r="G93" s="56"/>
      <c r="H93" s="296"/>
      <c r="I93" s="297"/>
      <c r="J93" s="297"/>
      <c r="K93" s="297"/>
      <c r="L93" s="56"/>
      <c r="M93" s="231"/>
      <c r="N93" s="62"/>
      <c r="O93" s="57"/>
      <c r="P93" s="57"/>
      <c r="Q93" s="57"/>
      <c r="R93" s="57"/>
      <c r="S93" s="58"/>
      <c r="T93" s="59"/>
      <c r="U93" s="59"/>
      <c r="V93" s="59"/>
      <c r="W93" s="59"/>
    </row>
    <row r="94" spans="1:23" s="25" customFormat="1" x14ac:dyDescent="0.2">
      <c r="A94" s="261" t="s">
        <v>119</v>
      </c>
      <c r="B94" s="262" t="s">
        <v>114</v>
      </c>
      <c r="C94" s="61"/>
      <c r="D94" s="56"/>
      <c r="E94" s="56"/>
      <c r="F94" s="56"/>
      <c r="G94" s="56"/>
      <c r="H94" s="296"/>
      <c r="I94" s="297"/>
      <c r="J94" s="297"/>
      <c r="K94" s="297"/>
      <c r="L94" s="56"/>
      <c r="M94" s="231"/>
      <c r="N94" s="62"/>
      <c r="O94" s="57"/>
      <c r="P94" s="57"/>
      <c r="Q94" s="57"/>
      <c r="R94" s="57"/>
      <c r="S94" s="58"/>
      <c r="T94" s="59"/>
      <c r="U94" s="59"/>
      <c r="V94" s="59"/>
      <c r="W94" s="59"/>
    </row>
    <row r="95" spans="1:23" s="25" customFormat="1" x14ac:dyDescent="0.2">
      <c r="A95" s="261" t="s">
        <v>120</v>
      </c>
      <c r="B95" s="262" t="s">
        <v>121</v>
      </c>
      <c r="C95" s="61">
        <f>D95+F95</f>
        <v>33.722000000000001</v>
      </c>
      <c r="D95" s="56"/>
      <c r="E95" s="56"/>
      <c r="F95" s="56">
        <f>F55+F16</f>
        <v>33.722000000000001</v>
      </c>
      <c r="G95" s="56"/>
      <c r="H95" s="296">
        <f>I95+K95</f>
        <v>0.01</v>
      </c>
      <c r="I95" s="297"/>
      <c r="J95" s="297"/>
      <c r="K95" s="297">
        <v>0.01</v>
      </c>
      <c r="L95" s="56"/>
      <c r="M95" s="231">
        <f t="shared" ref="M95:M96" si="40">C95/H95</f>
        <v>3372.2000000000003</v>
      </c>
      <c r="N95" s="62"/>
      <c r="O95" s="232"/>
      <c r="P95" s="232"/>
      <c r="Q95" s="232"/>
      <c r="R95" s="232"/>
      <c r="S95" s="232"/>
      <c r="T95" s="232"/>
      <c r="U95" s="232"/>
      <c r="V95" s="232"/>
      <c r="W95" s="232"/>
    </row>
    <row r="96" spans="1:23" s="25" customFormat="1" x14ac:dyDescent="0.2">
      <c r="A96" s="259" t="s">
        <v>19</v>
      </c>
      <c r="B96" s="263" t="s">
        <v>20</v>
      </c>
      <c r="C96" s="61">
        <f>C101+C105</f>
        <v>600356.18800000008</v>
      </c>
      <c r="D96" s="61">
        <f>D101+D105</f>
        <v>254638.61499999999</v>
      </c>
      <c r="E96" s="61">
        <f>E101+E105</f>
        <v>324592.10200000001</v>
      </c>
      <c r="F96" s="61">
        <f>F101+F105</f>
        <v>21125.470999999998</v>
      </c>
      <c r="G96" s="61"/>
      <c r="H96" s="296">
        <f t="shared" ref="H96" si="41">I96+J96+K96</f>
        <v>81.002999999999986</v>
      </c>
      <c r="I96" s="296">
        <f>I101+I105</f>
        <v>35.811999999999998</v>
      </c>
      <c r="J96" s="296">
        <f>J101+J105</f>
        <v>42.523999999999994</v>
      </c>
      <c r="K96" s="296">
        <f>K101+K105</f>
        <v>2.6669999999999998</v>
      </c>
      <c r="L96" s="61"/>
      <c r="M96" s="231">
        <f t="shared" si="40"/>
        <v>7411.5302890016446</v>
      </c>
      <c r="N96" s="62"/>
      <c r="O96" s="232"/>
      <c r="P96" s="232"/>
      <c r="Q96" s="232"/>
      <c r="R96" s="232"/>
      <c r="S96" s="232"/>
      <c r="T96" s="232"/>
      <c r="U96" s="232"/>
      <c r="V96" s="232"/>
      <c r="W96" s="232"/>
    </row>
    <row r="97" spans="1:23" s="25" customFormat="1" x14ac:dyDescent="0.2">
      <c r="A97" s="261" t="s">
        <v>77</v>
      </c>
      <c r="B97" s="60" t="s">
        <v>122</v>
      </c>
      <c r="C97" s="61"/>
      <c r="D97" s="61"/>
      <c r="E97" s="61"/>
      <c r="F97" s="61"/>
      <c r="G97" s="61"/>
      <c r="H97" s="296"/>
      <c r="I97" s="296"/>
      <c r="J97" s="296"/>
      <c r="K97" s="296"/>
      <c r="L97" s="61"/>
      <c r="M97" s="231"/>
      <c r="N97" s="62"/>
      <c r="O97" s="232"/>
      <c r="P97" s="232"/>
      <c r="Q97" s="232"/>
      <c r="R97" s="232"/>
      <c r="S97" s="232"/>
      <c r="T97" s="232"/>
      <c r="U97" s="232"/>
      <c r="V97" s="232"/>
      <c r="W97" s="232"/>
    </row>
    <row r="98" spans="1:23" x14ac:dyDescent="0.2">
      <c r="A98" s="264"/>
      <c r="B98" s="60" t="s">
        <v>123</v>
      </c>
      <c r="C98" s="61"/>
      <c r="D98" s="56"/>
      <c r="E98" s="56"/>
      <c r="F98" s="56"/>
      <c r="G98" s="56"/>
      <c r="H98" s="296"/>
      <c r="I98" s="297"/>
      <c r="J98" s="297"/>
      <c r="K98" s="297"/>
      <c r="L98" s="56"/>
      <c r="M98" s="231"/>
      <c r="N98" s="62"/>
      <c r="O98" s="57"/>
      <c r="P98" s="57"/>
      <c r="Q98" s="57"/>
      <c r="R98" s="57"/>
      <c r="S98" s="63"/>
      <c r="T98" s="59"/>
      <c r="U98" s="59"/>
      <c r="V98" s="59"/>
      <c r="W98" s="59"/>
    </row>
    <row r="99" spans="1:23" x14ac:dyDescent="0.2">
      <c r="A99" s="264"/>
      <c r="B99" s="60" t="s">
        <v>124</v>
      </c>
      <c r="C99" s="61"/>
      <c r="D99" s="56"/>
      <c r="E99" s="56"/>
      <c r="F99" s="56"/>
      <c r="G99" s="56"/>
      <c r="H99" s="296"/>
      <c r="I99" s="297"/>
      <c r="J99" s="297"/>
      <c r="K99" s="297"/>
      <c r="L99" s="56"/>
      <c r="M99" s="231"/>
      <c r="N99" s="62"/>
      <c r="O99" s="57"/>
      <c r="P99" s="57"/>
      <c r="Q99" s="57"/>
      <c r="R99" s="57"/>
      <c r="S99" s="63"/>
      <c r="T99" s="59"/>
      <c r="U99" s="59"/>
      <c r="V99" s="59"/>
      <c r="W99" s="59"/>
    </row>
    <row r="100" spans="1:23" s="47" customFormat="1" x14ac:dyDescent="0.2">
      <c r="A100" s="261"/>
      <c r="B100" s="60" t="s">
        <v>125</v>
      </c>
      <c r="C100" s="61"/>
      <c r="D100" s="56"/>
      <c r="E100" s="56"/>
      <c r="F100" s="56"/>
      <c r="G100" s="56"/>
      <c r="H100" s="296"/>
      <c r="I100" s="297"/>
      <c r="J100" s="297"/>
      <c r="K100" s="297"/>
      <c r="L100" s="56"/>
      <c r="M100" s="231"/>
      <c r="N100" s="62"/>
      <c r="O100" s="57"/>
      <c r="P100" s="57"/>
      <c r="Q100" s="57"/>
      <c r="R100" s="57"/>
      <c r="S100" s="63"/>
      <c r="T100" s="59"/>
      <c r="U100" s="59"/>
      <c r="V100" s="59"/>
      <c r="W100" s="59"/>
    </row>
    <row r="101" spans="1:23" s="25" customFormat="1" x14ac:dyDescent="0.2">
      <c r="A101" s="261" t="s">
        <v>81</v>
      </c>
      <c r="B101" s="265" t="s">
        <v>126</v>
      </c>
      <c r="C101" s="61">
        <f t="shared" ref="C101" si="42">D101+E101+F101</f>
        <v>39804.310000000005</v>
      </c>
      <c r="D101" s="61">
        <f>SUM(D102:D104)</f>
        <v>25275.612000000001</v>
      </c>
      <c r="E101" s="61">
        <f t="shared" ref="E101:F101" si="43">SUM(E102:E104)</f>
        <v>9383.1579999999994</v>
      </c>
      <c r="F101" s="61">
        <f t="shared" si="43"/>
        <v>5145.54</v>
      </c>
      <c r="G101" s="61"/>
      <c r="H101" s="296">
        <f t="shared" ref="H101" si="44">I101+J101+K101</f>
        <v>7.4589999999999996</v>
      </c>
      <c r="I101" s="296">
        <f>I102+I103+I104</f>
        <v>5.3339999999999996</v>
      </c>
      <c r="J101" s="296">
        <f t="shared" ref="J101:K101" si="45">J102+J103+J104</f>
        <v>1.5685</v>
      </c>
      <c r="K101" s="296">
        <f t="shared" si="45"/>
        <v>0.55649999999999999</v>
      </c>
      <c r="L101" s="61"/>
      <c r="M101" s="231">
        <f t="shared" ref="M101" si="46">C101/H101</f>
        <v>5336.4137283818218</v>
      </c>
      <c r="N101" s="62"/>
      <c r="O101" s="232"/>
      <c r="P101" s="232"/>
      <c r="Q101" s="232"/>
      <c r="R101" s="232"/>
      <c r="S101" s="232"/>
      <c r="T101" s="232"/>
      <c r="U101" s="232"/>
      <c r="V101" s="232"/>
      <c r="W101" s="232"/>
    </row>
    <row r="102" spans="1:23" s="47" customFormat="1" x14ac:dyDescent="0.2">
      <c r="A102" s="261"/>
      <c r="B102" s="266" t="s">
        <v>280</v>
      </c>
      <c r="C102" s="61">
        <f t="shared" ref="C102:C104" si="47">D102+E102+F102</f>
        <v>22106.383000000002</v>
      </c>
      <c r="D102" s="297">
        <f>D62+D23</f>
        <v>14165.07</v>
      </c>
      <c r="E102" s="297">
        <f t="shared" ref="E102:F104" si="48">E62+E23</f>
        <v>2795.7730000000001</v>
      </c>
      <c r="F102" s="297">
        <f t="shared" si="48"/>
        <v>5145.54</v>
      </c>
      <c r="G102" s="297"/>
      <c r="H102" s="61">
        <f t="shared" ref="H102:H104" si="49">I102+J102+K102</f>
        <v>4.6034999999999995</v>
      </c>
      <c r="I102" s="64">
        <f>(I23*6+I62*6)/12</f>
        <v>3.4784999999999999</v>
      </c>
      <c r="J102" s="64">
        <f>(J23*6+J62*6)/12</f>
        <v>0.56850000000000001</v>
      </c>
      <c r="K102" s="64">
        <f>(K23*6+K62*6)/12</f>
        <v>0.55649999999999999</v>
      </c>
      <c r="L102" s="56"/>
      <c r="M102" s="231">
        <f t="shared" ref="M102:M119" si="50">C102/H102</f>
        <v>4802.0816769849034</v>
      </c>
      <c r="N102" s="62"/>
      <c r="O102" s="66"/>
      <c r="P102" s="66"/>
      <c r="Q102" s="66"/>
      <c r="R102" s="66"/>
      <c r="S102" s="63"/>
      <c r="T102" s="59"/>
      <c r="U102" s="59"/>
      <c r="V102" s="59"/>
      <c r="W102" s="59"/>
    </row>
    <row r="103" spans="1:23" s="47" customFormat="1" x14ac:dyDescent="0.2">
      <c r="A103" s="261"/>
      <c r="B103" s="266" t="s">
        <v>284</v>
      </c>
      <c r="C103" s="61">
        <f t="shared" si="47"/>
        <v>11110.541999999999</v>
      </c>
      <c r="D103" s="297">
        <f>D63+D24</f>
        <v>11110.541999999999</v>
      </c>
      <c r="E103" s="297"/>
      <c r="F103" s="297"/>
      <c r="G103" s="56"/>
      <c r="H103" s="61">
        <f t="shared" si="49"/>
        <v>1.8554999999999999</v>
      </c>
      <c r="I103" s="64">
        <f>(I24*6+I63*6)/12</f>
        <v>1.8554999999999999</v>
      </c>
      <c r="J103" s="64"/>
      <c r="K103" s="64"/>
      <c r="L103" s="56"/>
      <c r="M103" s="231">
        <f t="shared" si="50"/>
        <v>5987.8965238480196</v>
      </c>
      <c r="N103" s="62"/>
      <c r="O103" s="66"/>
      <c r="P103" s="66"/>
      <c r="Q103" s="66"/>
      <c r="R103" s="66"/>
      <c r="S103" s="63"/>
      <c r="T103" s="63"/>
      <c r="U103" s="59"/>
      <c r="V103" s="59"/>
      <c r="W103" s="59"/>
    </row>
    <row r="104" spans="1:23" s="47" customFormat="1" x14ac:dyDescent="0.2">
      <c r="A104" s="261"/>
      <c r="B104" s="60" t="s">
        <v>286</v>
      </c>
      <c r="C104" s="61">
        <f t="shared" si="47"/>
        <v>6587.3850000000002</v>
      </c>
      <c r="D104" s="297"/>
      <c r="E104" s="297">
        <f t="shared" si="48"/>
        <v>6587.3850000000002</v>
      </c>
      <c r="F104" s="297"/>
      <c r="G104" s="56"/>
      <c r="H104" s="61">
        <f t="shared" si="49"/>
        <v>1</v>
      </c>
      <c r="I104" s="56"/>
      <c r="J104" s="64">
        <f>(J25*6+J64*6)/12</f>
        <v>1</v>
      </c>
      <c r="K104" s="64"/>
      <c r="L104" s="56"/>
      <c r="M104" s="231">
        <f>E104/J104</f>
        <v>6587.3850000000002</v>
      </c>
      <c r="N104" s="62"/>
      <c r="O104" s="66"/>
      <c r="P104" s="66"/>
      <c r="Q104" s="66"/>
      <c r="R104" s="66"/>
      <c r="S104" s="63"/>
      <c r="T104" s="59"/>
      <c r="U104" s="59"/>
      <c r="V104" s="59"/>
      <c r="W104" s="59"/>
    </row>
    <row r="105" spans="1:23" s="25" customFormat="1" x14ac:dyDescent="0.2">
      <c r="A105" s="261" t="s">
        <v>127</v>
      </c>
      <c r="B105" s="265" t="s">
        <v>128</v>
      </c>
      <c r="C105" s="61">
        <f>D105+E105+F105</f>
        <v>560551.87800000003</v>
      </c>
      <c r="D105" s="61">
        <f>SUM(D106:D111)</f>
        <v>229363.003</v>
      </c>
      <c r="E105" s="61">
        <f t="shared" ref="E105:F105" si="51">SUM(E106:E111)</f>
        <v>315208.94400000002</v>
      </c>
      <c r="F105" s="61">
        <f t="shared" si="51"/>
        <v>15979.930999999999</v>
      </c>
      <c r="G105" s="61"/>
      <c r="H105" s="61">
        <f>I105+J105+K105</f>
        <v>73.543999999999997</v>
      </c>
      <c r="I105" s="61">
        <f>SUM(I106:I111)</f>
        <v>30.477999999999998</v>
      </c>
      <c r="J105" s="61">
        <f>SUM(J106:J111)</f>
        <v>40.955499999999994</v>
      </c>
      <c r="K105" s="61">
        <f>SUM(K106:K111)</f>
        <v>2.1105</v>
      </c>
      <c r="L105" s="61"/>
      <c r="M105" s="231">
        <f t="shared" si="50"/>
        <v>7621.9933373218764</v>
      </c>
      <c r="N105" s="62"/>
      <c r="O105" s="232"/>
      <c r="P105" s="232"/>
      <c r="Q105" s="232"/>
      <c r="R105" s="232"/>
      <c r="S105" s="232"/>
      <c r="T105" s="232"/>
      <c r="U105" s="232"/>
      <c r="V105" s="232"/>
      <c r="W105" s="232"/>
    </row>
    <row r="106" spans="1:23" s="25" customFormat="1" x14ac:dyDescent="0.2">
      <c r="A106" s="261"/>
      <c r="B106" s="266" t="s">
        <v>281</v>
      </c>
      <c r="C106" s="61">
        <f>D106+F106+E106</f>
        <v>61012.513000000006</v>
      </c>
      <c r="D106" s="56">
        <f>D66+D27</f>
        <v>48716.141000000003</v>
      </c>
      <c r="E106" s="56">
        <f t="shared" ref="E106:F106" si="52">E66+E27</f>
        <v>0</v>
      </c>
      <c r="F106" s="56">
        <f t="shared" si="52"/>
        <v>12296.371999999999</v>
      </c>
      <c r="G106" s="56"/>
      <c r="H106" s="61">
        <f t="shared" ref="H106:H117" si="53">I106+J106+K106</f>
        <v>7.968</v>
      </c>
      <c r="I106" s="64">
        <v>6.3550000000000004</v>
      </c>
      <c r="J106" s="64"/>
      <c r="K106" s="64">
        <v>1.613</v>
      </c>
      <c r="L106" s="56"/>
      <c r="M106" s="231">
        <f t="shared" si="50"/>
        <v>7657.1928965863463</v>
      </c>
      <c r="N106" s="62"/>
      <c r="O106" s="232"/>
      <c r="P106" s="232"/>
      <c r="Q106" s="232"/>
      <c r="R106" s="232"/>
      <c r="S106" s="232"/>
      <c r="T106" s="232"/>
      <c r="U106" s="232"/>
      <c r="V106" s="232"/>
      <c r="W106" s="232"/>
    </row>
    <row r="107" spans="1:23" s="47" customFormat="1" ht="14.25" customHeight="1" x14ac:dyDescent="0.2">
      <c r="A107" s="261"/>
      <c r="B107" s="266" t="s">
        <v>285</v>
      </c>
      <c r="C107" s="296">
        <f t="shared" ref="C107" si="54">D107+E107+F107</f>
        <v>12844.423000000001</v>
      </c>
      <c r="D107" s="56">
        <f t="shared" ref="D107:F107" si="55">D67+D28</f>
        <v>5679.9290000000001</v>
      </c>
      <c r="E107" s="56">
        <f t="shared" si="55"/>
        <v>7164.4940000000006</v>
      </c>
      <c r="F107" s="56">
        <f t="shared" si="55"/>
        <v>0</v>
      </c>
      <c r="G107" s="297"/>
      <c r="H107" s="61">
        <f>I107+J107+K107</f>
        <v>1.496</v>
      </c>
      <c r="I107" s="64">
        <f>(I28*6+I67*6)/12</f>
        <v>0.66149999999999998</v>
      </c>
      <c r="J107" s="64">
        <f>(J28*6+J67*6)/12</f>
        <v>0.83449999999999991</v>
      </c>
      <c r="K107" s="64"/>
      <c r="L107" s="56"/>
      <c r="M107" s="299">
        <f t="shared" si="50"/>
        <v>8585.8442513368991</v>
      </c>
      <c r="N107" s="62"/>
      <c r="O107" s="66"/>
      <c r="P107" s="66"/>
      <c r="Q107" s="66"/>
      <c r="R107" s="66"/>
      <c r="S107" s="63"/>
      <c r="T107" s="63"/>
      <c r="U107" s="63"/>
      <c r="V107" s="63"/>
      <c r="W107" s="59"/>
    </row>
    <row r="108" spans="1:23" s="47" customFormat="1" ht="14.25" customHeight="1" x14ac:dyDescent="0.2">
      <c r="A108" s="261"/>
      <c r="B108" s="266" t="s">
        <v>282</v>
      </c>
      <c r="C108" s="61">
        <f t="shared" ref="C108:C110" si="56">D108+F108+E108</f>
        <v>15400.798999999999</v>
      </c>
      <c r="D108" s="56">
        <f t="shared" ref="D108:F108" si="57">D68+D29</f>
        <v>15400.798999999999</v>
      </c>
      <c r="E108" s="56">
        <f t="shared" si="57"/>
        <v>0</v>
      </c>
      <c r="F108" s="56">
        <f t="shared" si="57"/>
        <v>0</v>
      </c>
      <c r="G108" s="56"/>
      <c r="H108" s="61">
        <f t="shared" ref="H108:H111" si="58">I108+J108+K108</f>
        <v>2.214</v>
      </c>
      <c r="I108" s="64">
        <f>(I29*6+I68*6)/12</f>
        <v>2.214</v>
      </c>
      <c r="J108" s="56"/>
      <c r="K108" s="56"/>
      <c r="L108" s="56"/>
      <c r="M108" s="231">
        <f t="shared" si="50"/>
        <v>6956.0971093044263</v>
      </c>
      <c r="N108" s="62"/>
      <c r="O108" s="66"/>
      <c r="P108" s="66"/>
      <c r="Q108" s="66"/>
      <c r="R108" s="66"/>
      <c r="S108" s="63"/>
      <c r="T108" s="63"/>
      <c r="U108" s="63"/>
      <c r="V108" s="63"/>
      <c r="W108" s="59"/>
    </row>
    <row r="109" spans="1:23" s="47" customFormat="1" ht="14.25" customHeight="1" x14ac:dyDescent="0.2">
      <c r="A109" s="261"/>
      <c r="B109" s="266" t="s">
        <v>283</v>
      </c>
      <c r="C109" s="61">
        <f t="shared" si="56"/>
        <v>14357.152</v>
      </c>
      <c r="D109" s="56">
        <f t="shared" ref="D109:F109" si="59">D69+D30</f>
        <v>14357.152</v>
      </c>
      <c r="E109" s="56">
        <f t="shared" si="59"/>
        <v>0</v>
      </c>
      <c r="F109" s="56">
        <f t="shared" si="59"/>
        <v>0</v>
      </c>
      <c r="G109" s="56"/>
      <c r="H109" s="61">
        <f t="shared" si="58"/>
        <v>1.7575000000000003</v>
      </c>
      <c r="I109" s="64">
        <f>(I30*6+I69*6)/12</f>
        <v>1.7575000000000003</v>
      </c>
      <c r="J109" s="64"/>
      <c r="K109" s="64"/>
      <c r="L109" s="56"/>
      <c r="M109" s="231">
        <f t="shared" si="50"/>
        <v>8169.0765291607386</v>
      </c>
      <c r="N109" s="62"/>
      <c r="O109" s="66"/>
      <c r="P109" s="66"/>
      <c r="Q109" s="66"/>
      <c r="R109" s="66"/>
      <c r="S109" s="63"/>
      <c r="T109" s="63"/>
      <c r="U109" s="63"/>
      <c r="V109" s="63"/>
      <c r="W109" s="59"/>
    </row>
    <row r="110" spans="1:23" s="47" customFormat="1" ht="14.25" customHeight="1" x14ac:dyDescent="0.2">
      <c r="A110" s="261"/>
      <c r="B110" s="303" t="s">
        <v>320</v>
      </c>
      <c r="C110" s="61">
        <f t="shared" si="56"/>
        <v>414992.821</v>
      </c>
      <c r="D110" s="56">
        <f t="shared" ref="D110:F110" si="60">D70+D31</f>
        <v>103803.13399999999</v>
      </c>
      <c r="E110" s="56">
        <f t="shared" si="60"/>
        <v>307550.46100000001</v>
      </c>
      <c r="F110" s="56">
        <f t="shared" si="60"/>
        <v>3639.2259999999997</v>
      </c>
      <c r="G110" s="56"/>
      <c r="H110" s="61">
        <f t="shared" si="58"/>
        <v>54.589499999999994</v>
      </c>
      <c r="I110" s="64">
        <f>(I31*6+I70*6)/12-0.001</f>
        <v>14.041499999999999</v>
      </c>
      <c r="J110" s="64">
        <f t="shared" ref="J110:K111" si="61">(J31*6+J70*6)/12</f>
        <v>40.055999999999997</v>
      </c>
      <c r="K110" s="64">
        <f>(K31*6+K70*6)/12+0.001</f>
        <v>0.49199999999999994</v>
      </c>
      <c r="L110" s="56"/>
      <c r="M110" s="231">
        <f t="shared" si="50"/>
        <v>7602.0630524185062</v>
      </c>
      <c r="N110" s="62"/>
      <c r="O110" s="66"/>
      <c r="P110" s="66"/>
      <c r="Q110" s="66"/>
      <c r="R110" s="66"/>
      <c r="S110" s="63"/>
      <c r="T110" s="63"/>
      <c r="U110" s="63"/>
      <c r="V110" s="63"/>
      <c r="W110" s="59"/>
    </row>
    <row r="111" spans="1:23" s="47" customFormat="1" ht="14.25" customHeight="1" x14ac:dyDescent="0.2">
      <c r="A111" s="261"/>
      <c r="B111" s="266" t="s">
        <v>321</v>
      </c>
      <c r="C111" s="61">
        <f>D111+F111+E111</f>
        <v>41944.17</v>
      </c>
      <c r="D111" s="56">
        <f t="shared" ref="D111:F111" si="62">D71+D32</f>
        <v>41405.847999999998</v>
      </c>
      <c r="E111" s="56">
        <f t="shared" si="62"/>
        <v>493.98900000000003</v>
      </c>
      <c r="F111" s="56">
        <f t="shared" si="62"/>
        <v>44.332999999999998</v>
      </c>
      <c r="G111" s="56"/>
      <c r="H111" s="61">
        <f t="shared" si="58"/>
        <v>5.5189999999999992</v>
      </c>
      <c r="I111" s="64">
        <f>(I32*6+I71*6)/12</f>
        <v>5.4484999999999992</v>
      </c>
      <c r="J111" s="64">
        <f t="shared" si="61"/>
        <v>6.5000000000000002E-2</v>
      </c>
      <c r="K111" s="64">
        <f t="shared" si="61"/>
        <v>5.5000000000000005E-3</v>
      </c>
      <c r="L111" s="56"/>
      <c r="M111" s="231">
        <f t="shared" si="50"/>
        <v>7599.9583257836575</v>
      </c>
      <c r="N111" s="62"/>
      <c r="O111" s="66"/>
      <c r="P111" s="66"/>
      <c r="Q111" s="66"/>
      <c r="R111" s="66"/>
      <c r="S111" s="63"/>
      <c r="T111" s="63"/>
      <c r="U111" s="63"/>
      <c r="V111" s="63"/>
      <c r="W111" s="59"/>
    </row>
    <row r="112" spans="1:23" x14ac:dyDescent="0.2">
      <c r="A112" s="267" t="s">
        <v>129</v>
      </c>
      <c r="B112" s="268" t="s">
        <v>130</v>
      </c>
      <c r="C112" s="61">
        <f>D112+E112+F112</f>
        <v>69081.581999999995</v>
      </c>
      <c r="D112" s="296">
        <f>D113+D114+D115+D117</f>
        <v>128.27699999999999</v>
      </c>
      <c r="E112" s="296">
        <f>E113+E114+E115+E117+E116</f>
        <v>68828.53</v>
      </c>
      <c r="F112" s="296">
        <f>F113+F114+F115+F117+F118</f>
        <v>124.77499999999999</v>
      </c>
      <c r="G112" s="296"/>
      <c r="H112" s="296">
        <f t="shared" si="53"/>
        <v>12.371999999999998</v>
      </c>
      <c r="I112" s="296">
        <f>I113+I114+I115+I117</f>
        <v>0.02</v>
      </c>
      <c r="J112" s="296">
        <f>J113+J114+J115+J117+J116</f>
        <v>12.335999999999999</v>
      </c>
      <c r="K112" s="296">
        <f>K113+K114+K115+K117+K118</f>
        <v>1.6E-2</v>
      </c>
      <c r="L112" s="61"/>
      <c r="M112" s="231">
        <f t="shared" si="50"/>
        <v>5583.7036857419989</v>
      </c>
      <c r="N112" s="62"/>
      <c r="O112" s="232"/>
      <c r="P112" s="232"/>
      <c r="Q112" s="232"/>
      <c r="R112" s="232"/>
      <c r="S112" s="232"/>
      <c r="T112" s="232"/>
      <c r="U112" s="232"/>
      <c r="V112" s="232"/>
      <c r="W112" s="232"/>
    </row>
    <row r="113" spans="1:23" s="47" customFormat="1" x14ac:dyDescent="0.2">
      <c r="A113" s="261"/>
      <c r="B113" s="266" t="s">
        <v>287</v>
      </c>
      <c r="C113" s="61">
        <f>D113+E113+F113</f>
        <v>242.78999999999996</v>
      </c>
      <c r="D113" s="56">
        <f>D73+D34</f>
        <v>128.27699999999999</v>
      </c>
      <c r="E113" s="56">
        <f>E73+E34</f>
        <v>0</v>
      </c>
      <c r="F113" s="56">
        <f>F73+F34</f>
        <v>114.51299999999999</v>
      </c>
      <c r="G113" s="56"/>
      <c r="H113" s="296">
        <f t="shared" si="53"/>
        <v>3.4000000000000002E-2</v>
      </c>
      <c r="I113" s="297">
        <v>0.02</v>
      </c>
      <c r="J113" s="297"/>
      <c r="K113" s="297">
        <v>1.4E-2</v>
      </c>
      <c r="L113" s="56"/>
      <c r="M113" s="231">
        <f t="shared" si="50"/>
        <v>7140.8823529411748</v>
      </c>
      <c r="N113" s="62"/>
      <c r="O113" s="57"/>
      <c r="P113" s="57"/>
      <c r="Q113" s="57"/>
      <c r="R113" s="57"/>
      <c r="S113" s="63"/>
      <c r="T113" s="59"/>
      <c r="U113" s="59"/>
      <c r="V113" s="59"/>
      <c r="W113" s="59"/>
    </row>
    <row r="114" spans="1:23" s="47" customFormat="1" x14ac:dyDescent="0.2">
      <c r="A114" s="261"/>
      <c r="B114" s="266" t="s">
        <v>312</v>
      </c>
      <c r="C114" s="61">
        <f t="shared" ref="C114:C115" si="63">D114+E114+F114</f>
        <v>60592.483999999997</v>
      </c>
      <c r="D114" s="56"/>
      <c r="E114" s="56">
        <f>E74+E35</f>
        <v>60592.483999999997</v>
      </c>
      <c r="F114" s="56"/>
      <c r="G114" s="56"/>
      <c r="H114" s="296">
        <f t="shared" si="53"/>
        <v>11.135999999999999</v>
      </c>
      <c r="I114" s="297"/>
      <c r="J114" s="297">
        <v>11.135999999999999</v>
      </c>
      <c r="K114" s="297"/>
      <c r="L114" s="56"/>
      <c r="M114" s="231">
        <f t="shared" si="50"/>
        <v>5441.135416666667</v>
      </c>
      <c r="N114" s="62"/>
      <c r="O114" s="57"/>
      <c r="P114" s="57"/>
      <c r="Q114" s="57"/>
      <c r="R114" s="57"/>
      <c r="S114" s="63"/>
      <c r="T114" s="59"/>
      <c r="U114" s="59"/>
      <c r="V114" s="59"/>
      <c r="W114" s="59"/>
    </row>
    <row r="115" spans="1:23" s="47" customFormat="1" x14ac:dyDescent="0.2">
      <c r="A115" s="261"/>
      <c r="B115" s="266" t="s">
        <v>288</v>
      </c>
      <c r="C115" s="61">
        <f t="shared" si="63"/>
        <v>8236.0460000000003</v>
      </c>
      <c r="D115" s="56"/>
      <c r="E115" s="56">
        <f>E75+E36</f>
        <v>8236.0460000000003</v>
      </c>
      <c r="F115" s="56"/>
      <c r="G115" s="56"/>
      <c r="H115" s="296">
        <f t="shared" si="53"/>
        <v>1.2</v>
      </c>
      <c r="I115" s="297"/>
      <c r="J115" s="297">
        <v>1.2</v>
      </c>
      <c r="K115" s="297"/>
      <c r="L115" s="56"/>
      <c r="M115" s="231">
        <f t="shared" si="50"/>
        <v>6863.3716666666669</v>
      </c>
      <c r="N115" s="62"/>
      <c r="O115" s="57"/>
      <c r="P115" s="57"/>
      <c r="Q115" s="57"/>
      <c r="R115" s="57"/>
      <c r="S115" s="63"/>
      <c r="T115" s="59"/>
      <c r="U115" s="59"/>
      <c r="V115" s="59"/>
      <c r="W115" s="59"/>
    </row>
    <row r="116" spans="1:23" s="47" customFormat="1" hidden="1" x14ac:dyDescent="0.2">
      <c r="A116" s="261"/>
      <c r="B116" s="266"/>
      <c r="C116" s="61"/>
      <c r="D116" s="56"/>
      <c r="E116" s="56"/>
      <c r="F116" s="56"/>
      <c r="G116" s="56"/>
      <c r="H116" s="296"/>
      <c r="I116" s="297"/>
      <c r="J116" s="297"/>
      <c r="K116" s="297"/>
      <c r="L116" s="56"/>
      <c r="M116" s="231"/>
      <c r="N116" s="62"/>
      <c r="O116" s="57"/>
      <c r="P116" s="57"/>
      <c r="Q116" s="57"/>
      <c r="R116" s="57"/>
      <c r="S116" s="63"/>
      <c r="T116" s="59"/>
      <c r="U116" s="59"/>
      <c r="V116" s="59"/>
      <c r="W116" s="59"/>
    </row>
    <row r="117" spans="1:23" s="47" customFormat="1" x14ac:dyDescent="0.2">
      <c r="A117" s="261"/>
      <c r="B117" s="266" t="str">
        <f>B78</f>
        <v>ООО "Кемэнерго"</v>
      </c>
      <c r="C117" s="61">
        <f>D117+E117+F117</f>
        <v>10.262</v>
      </c>
      <c r="D117" s="56"/>
      <c r="E117" s="56"/>
      <c r="F117" s="56">
        <f>F78+F38</f>
        <v>10.262</v>
      </c>
      <c r="G117" s="56"/>
      <c r="H117" s="296">
        <f t="shared" si="53"/>
        <v>2E-3</v>
      </c>
      <c r="I117" s="297"/>
      <c r="J117" s="297"/>
      <c r="K117" s="297">
        <v>2E-3</v>
      </c>
      <c r="L117" s="56"/>
      <c r="M117" s="231">
        <f t="shared" si="50"/>
        <v>5131</v>
      </c>
      <c r="N117" s="62"/>
      <c r="O117" s="57"/>
      <c r="P117" s="57"/>
      <c r="Q117" s="57"/>
      <c r="R117" s="57"/>
      <c r="S117" s="63"/>
      <c r="T117" s="59"/>
      <c r="U117" s="63"/>
      <c r="V117" s="59"/>
      <c r="W117" s="59"/>
    </row>
    <row r="118" spans="1:23" s="47" customFormat="1" hidden="1" x14ac:dyDescent="0.2">
      <c r="A118" s="261"/>
      <c r="B118" s="266"/>
      <c r="C118" s="61"/>
      <c r="D118" s="56"/>
      <c r="E118" s="56"/>
      <c r="F118" s="56"/>
      <c r="G118" s="56"/>
      <c r="H118" s="296"/>
      <c r="I118" s="297"/>
      <c r="J118" s="297"/>
      <c r="K118" s="297"/>
      <c r="L118" s="56"/>
      <c r="M118" s="231"/>
      <c r="N118" s="62"/>
      <c r="O118" s="57"/>
      <c r="P118" s="57"/>
      <c r="Q118" s="57"/>
      <c r="R118" s="57"/>
      <c r="S118" s="63"/>
      <c r="T118" s="59"/>
      <c r="U118" s="63"/>
      <c r="V118" s="59"/>
      <c r="W118" s="59"/>
    </row>
    <row r="119" spans="1:23" s="25" customFormat="1" x14ac:dyDescent="0.2">
      <c r="A119" s="267" t="s">
        <v>131</v>
      </c>
      <c r="B119" s="263" t="s">
        <v>132</v>
      </c>
      <c r="C119" s="61">
        <f t="shared" ref="C119:K119" si="64">C112+C96+C88</f>
        <v>671023.25</v>
      </c>
      <c r="D119" s="61">
        <f t="shared" si="64"/>
        <v>254854.53599999999</v>
      </c>
      <c r="E119" s="61">
        <f t="shared" si="64"/>
        <v>393429.92</v>
      </c>
      <c r="F119" s="61">
        <f t="shared" si="64"/>
        <v>22738.793999999998</v>
      </c>
      <c r="G119" s="61">
        <f t="shared" si="64"/>
        <v>0</v>
      </c>
      <c r="H119" s="296">
        <f t="shared" si="64"/>
        <v>93.750999999999991</v>
      </c>
      <c r="I119" s="296">
        <f t="shared" si="64"/>
        <v>35.877000000000002</v>
      </c>
      <c r="J119" s="296">
        <f t="shared" si="64"/>
        <v>54.86999999999999</v>
      </c>
      <c r="K119" s="296">
        <f t="shared" si="64"/>
        <v>3.004</v>
      </c>
      <c r="L119" s="61"/>
      <c r="M119" s="231">
        <f t="shared" si="50"/>
        <v>7157.5049866134768</v>
      </c>
      <c r="N119" s="62"/>
      <c r="O119" s="232"/>
      <c r="P119" s="232"/>
      <c r="Q119" s="232"/>
      <c r="R119" s="232"/>
      <c r="S119" s="232"/>
      <c r="T119" s="232"/>
      <c r="U119" s="232"/>
      <c r="V119" s="232"/>
      <c r="W119" s="232"/>
    </row>
    <row r="120" spans="1:23" x14ac:dyDescent="0.2">
      <c r="H120" s="288" t="e">
        <f>SUM(H88,H102,H111,#REF!,#REF!,#REF!)</f>
        <v>#REF!</v>
      </c>
      <c r="I120" s="288">
        <f>SUM(I88,I102,I111:I111)</f>
        <v>8.9719999999999995</v>
      </c>
      <c r="J120" s="288">
        <f>SUM(J88,J102,J111:J111)</f>
        <v>0.64349999999999996</v>
      </c>
      <c r="K120" s="288">
        <f>SUM(K88,K102,K111:K111)</f>
        <v>0.8829999999999999</v>
      </c>
    </row>
    <row r="121" spans="1:23" x14ac:dyDescent="0.2">
      <c r="D121" s="295"/>
      <c r="E121" s="295"/>
      <c r="F121" s="295"/>
      <c r="H121" s="289">
        <f>H119-H112</f>
        <v>81.378999999999991</v>
      </c>
      <c r="I121" s="289">
        <f t="shared" ref="I121:K121" si="65">I119-I112</f>
        <v>35.856999999999999</v>
      </c>
      <c r="J121" s="289">
        <f t="shared" si="65"/>
        <v>42.533999999999992</v>
      </c>
      <c r="K121" s="289">
        <f t="shared" si="65"/>
        <v>2.988</v>
      </c>
    </row>
    <row r="123" spans="1:23" x14ac:dyDescent="0.2">
      <c r="D123" s="295"/>
      <c r="E123" s="295"/>
      <c r="F123" s="295"/>
    </row>
  </sheetData>
  <mergeCells count="26">
    <mergeCell ref="A8:W8"/>
    <mergeCell ref="A44:A45"/>
    <mergeCell ref="B44:B45"/>
    <mergeCell ref="C44:G44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H44:L44"/>
    <mergeCell ref="M44:M45"/>
    <mergeCell ref="N44:R44"/>
    <mergeCell ref="S44:W44"/>
    <mergeCell ref="A87:W87"/>
    <mergeCell ref="A47:W47"/>
    <mergeCell ref="A84:A85"/>
    <mergeCell ref="B84:B85"/>
    <mergeCell ref="C84:G84"/>
    <mergeCell ref="H84:L84"/>
    <mergeCell ref="M84:M85"/>
    <mergeCell ref="N84:R84"/>
    <mergeCell ref="S84:W84"/>
  </mergeCells>
  <printOptions horizontalCentered="1"/>
  <pageMargins left="0.59055118110236227" right="0" top="0.19685039370078741" bottom="0.19685039370078741" header="0" footer="0"/>
  <pageSetup paperSize="9" scale="70" orientation="landscape" r:id="rId1"/>
  <headerFooter alignWithMargins="0"/>
  <rowBreaks count="2" manualBreakCount="2">
    <brk id="41" max="16383" man="1"/>
    <brk id="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N175"/>
  <sheetViews>
    <sheetView view="pageBreakPreview" topLeftCell="C1" zoomScale="75" zoomScaleNormal="75" zoomScaleSheetLayoutView="75" workbookViewId="0">
      <selection activeCell="F8" sqref="F8"/>
    </sheetView>
  </sheetViews>
  <sheetFormatPr defaultColWidth="9.140625" defaultRowHeight="15.75" x14ac:dyDescent="0.25"/>
  <cols>
    <col min="1" max="1" width="9.140625" style="127"/>
    <col min="2" max="2" width="67.5703125" style="128" customWidth="1"/>
    <col min="3" max="3" width="17.42578125" style="129" customWidth="1"/>
    <col min="4" max="4" width="16.85546875" style="129" customWidth="1"/>
    <col min="5" max="5" width="12.140625" style="1" customWidth="1"/>
    <col min="6" max="6" width="17.7109375" style="1" customWidth="1"/>
    <col min="7" max="7" width="17.42578125" style="129" customWidth="1"/>
    <col min="8" max="8" width="16.85546875" style="129" customWidth="1"/>
    <col min="9" max="9" width="12.140625" style="1" customWidth="1"/>
    <col min="10" max="10" width="17.7109375" style="1" customWidth="1"/>
    <col min="11" max="11" width="17.42578125" style="129" customWidth="1"/>
    <col min="12" max="12" width="16.85546875" style="129" customWidth="1"/>
    <col min="13" max="13" width="12.140625" style="1" customWidth="1"/>
    <col min="14" max="14" width="19" style="1" customWidth="1"/>
    <col min="15" max="16384" width="9.140625" style="1"/>
  </cols>
  <sheetData>
    <row r="1" spans="1:14" s="78" customFormat="1" x14ac:dyDescent="0.25">
      <c r="A1" s="75" t="s">
        <v>133</v>
      </c>
      <c r="B1" s="76"/>
      <c r="C1" s="77"/>
      <c r="D1" s="77"/>
      <c r="G1" s="77"/>
      <c r="H1" s="77"/>
      <c r="K1" s="77"/>
      <c r="L1" s="77"/>
      <c r="N1" s="78" t="s">
        <v>134</v>
      </c>
    </row>
    <row r="2" spans="1:14" s="78" customFormat="1" ht="36.75" customHeight="1" x14ac:dyDescent="0.25">
      <c r="A2" s="342" t="s">
        <v>322</v>
      </c>
      <c r="B2" s="342"/>
      <c r="C2" s="343"/>
      <c r="D2" s="343"/>
      <c r="E2" s="343"/>
      <c r="F2" s="343"/>
    </row>
    <row r="3" spans="1:14" s="78" customFormat="1" ht="18.75" customHeight="1" x14ac:dyDescent="0.25">
      <c r="A3" s="338" t="str">
        <f>П1.6!I3</f>
        <v>ОАО "КузбассЭлектро"</v>
      </c>
      <c r="B3" s="338"/>
      <c r="C3" s="338"/>
      <c r="D3" s="338"/>
      <c r="E3" s="338"/>
      <c r="F3" s="338"/>
    </row>
    <row r="4" spans="1:14" s="78" customFormat="1" ht="16.5" thickBot="1" x14ac:dyDescent="0.3">
      <c r="A4" s="79"/>
      <c r="B4" s="80"/>
      <c r="C4" s="81"/>
      <c r="D4" s="81"/>
      <c r="E4" s="79"/>
      <c r="F4" s="79"/>
      <c r="G4" s="81"/>
      <c r="H4" s="81"/>
      <c r="I4" s="79"/>
      <c r="J4" s="79"/>
      <c r="K4" s="81"/>
      <c r="L4" s="81"/>
      <c r="M4" s="79"/>
      <c r="N4" s="79"/>
    </row>
    <row r="5" spans="1:14" ht="27" customHeight="1" x14ac:dyDescent="0.25">
      <c r="A5" s="344" t="s">
        <v>135</v>
      </c>
      <c r="B5" s="346" t="s">
        <v>12</v>
      </c>
      <c r="C5" s="348" t="str">
        <f>П1.6!A8</f>
        <v>1 полугодие 2018г.</v>
      </c>
      <c r="D5" s="340"/>
      <c r="E5" s="340"/>
      <c r="F5" s="341"/>
      <c r="G5" s="339" t="str">
        <f>П1.5!I4</f>
        <v>2 полугодие 2018г.</v>
      </c>
      <c r="H5" s="340"/>
      <c r="I5" s="340"/>
      <c r="J5" s="341"/>
      <c r="K5" s="339" t="str">
        <f>П1.5!N4</f>
        <v>2018 год</v>
      </c>
      <c r="L5" s="340"/>
      <c r="M5" s="340"/>
      <c r="N5" s="341"/>
    </row>
    <row r="6" spans="1:14" ht="48" thickBot="1" x14ac:dyDescent="0.3">
      <c r="A6" s="345"/>
      <c r="B6" s="347"/>
      <c r="C6" s="82" t="s">
        <v>136</v>
      </c>
      <c r="D6" s="83" t="s">
        <v>323</v>
      </c>
      <c r="E6" s="83" t="s">
        <v>324</v>
      </c>
      <c r="F6" s="84" t="s">
        <v>137</v>
      </c>
      <c r="G6" s="85" t="s">
        <v>136</v>
      </c>
      <c r="H6" s="83" t="s">
        <v>323</v>
      </c>
      <c r="I6" s="83" t="s">
        <v>324</v>
      </c>
      <c r="J6" s="84" t="s">
        <v>137</v>
      </c>
      <c r="K6" s="85" t="s">
        <v>136</v>
      </c>
      <c r="L6" s="83" t="s">
        <v>323</v>
      </c>
      <c r="M6" s="83" t="s">
        <v>324</v>
      </c>
      <c r="N6" s="84" t="s">
        <v>137</v>
      </c>
    </row>
    <row r="7" spans="1:14" ht="18" customHeight="1" x14ac:dyDescent="0.25">
      <c r="A7" s="269">
        <v>1</v>
      </c>
      <c r="B7" s="270" t="s">
        <v>138</v>
      </c>
      <c r="C7" s="233">
        <f>C10</f>
        <v>332514.10500000004</v>
      </c>
      <c r="D7" s="279"/>
      <c r="E7" s="234">
        <f>E10</f>
        <v>95.244000000000014</v>
      </c>
      <c r="F7" s="305">
        <v>487027</v>
      </c>
      <c r="G7" s="233">
        <f>G10</f>
        <v>353434.32200000004</v>
      </c>
      <c r="H7" s="279"/>
      <c r="I7" s="234">
        <f>I10</f>
        <v>96.49499999999999</v>
      </c>
      <c r="J7" s="305">
        <v>573197</v>
      </c>
      <c r="K7" s="233">
        <f>C7+G7</f>
        <v>685948.42700000014</v>
      </c>
      <c r="L7" s="279"/>
      <c r="M7" s="234">
        <f>M10</f>
        <v>95.869499999999988</v>
      </c>
      <c r="N7" s="305">
        <f>J7</f>
        <v>573197</v>
      </c>
    </row>
    <row r="8" spans="1:14" ht="17.25" customHeight="1" x14ac:dyDescent="0.25">
      <c r="A8" s="106"/>
      <c r="B8" s="107" t="s">
        <v>139</v>
      </c>
      <c r="C8" s="108"/>
      <c r="D8" s="109"/>
      <c r="E8" s="110"/>
      <c r="F8" s="86"/>
      <c r="G8" s="108"/>
      <c r="H8" s="109"/>
      <c r="I8" s="110"/>
      <c r="J8" s="86"/>
      <c r="K8" s="108"/>
      <c r="L8" s="109"/>
      <c r="M8" s="110"/>
      <c r="N8" s="86"/>
    </row>
    <row r="9" spans="1:14" s="87" customFormat="1" ht="18" customHeight="1" x14ac:dyDescent="0.25">
      <c r="A9" s="88" t="s">
        <v>59</v>
      </c>
      <c r="B9" s="89" t="s">
        <v>140</v>
      </c>
      <c r="C9" s="235"/>
      <c r="D9" s="236"/>
      <c r="E9" s="237"/>
      <c r="F9" s="86"/>
      <c r="G9" s="235"/>
      <c r="H9" s="236"/>
      <c r="I9" s="237"/>
      <c r="J9" s="86"/>
      <c r="K9" s="235"/>
      <c r="L9" s="236"/>
      <c r="M9" s="237"/>
      <c r="N9" s="86"/>
    </row>
    <row r="10" spans="1:14" s="87" customFormat="1" ht="18" customHeight="1" x14ac:dyDescent="0.25">
      <c r="A10" s="88" t="s">
        <v>60</v>
      </c>
      <c r="B10" s="89" t="s">
        <v>141</v>
      </c>
      <c r="C10" s="235">
        <f>П1.4!D7</f>
        <v>332514.10500000004</v>
      </c>
      <c r="D10" s="236"/>
      <c r="E10" s="237">
        <f>П1.5!D7</f>
        <v>95.244000000000014</v>
      </c>
      <c r="F10" s="86"/>
      <c r="G10" s="235">
        <f>П1.4!I7</f>
        <v>353434.32200000004</v>
      </c>
      <c r="H10" s="236"/>
      <c r="I10" s="237">
        <f>П1.5!I7</f>
        <v>96.49499999999999</v>
      </c>
      <c r="J10" s="86"/>
      <c r="K10" s="233">
        <f>C10+G10</f>
        <v>685948.42700000014</v>
      </c>
      <c r="L10" s="236"/>
      <c r="M10" s="237">
        <f>П1.5!N7</f>
        <v>95.869499999999988</v>
      </c>
      <c r="N10" s="86"/>
    </row>
    <row r="11" spans="1:14" s="93" customFormat="1" ht="18" customHeight="1" x14ac:dyDescent="0.25">
      <c r="A11" s="88"/>
      <c r="B11" s="89" t="s">
        <v>142</v>
      </c>
      <c r="C11" s="90"/>
      <c r="D11" s="91"/>
      <c r="E11" s="92"/>
      <c r="F11" s="86"/>
      <c r="G11" s="90"/>
      <c r="H11" s="91"/>
      <c r="I11" s="92"/>
      <c r="J11" s="86"/>
      <c r="K11" s="90"/>
      <c r="L11" s="91"/>
      <c r="M11" s="92"/>
      <c r="N11" s="86"/>
    </row>
    <row r="12" spans="1:14" s="93" customFormat="1" ht="18" customHeight="1" x14ac:dyDescent="0.25">
      <c r="A12" s="88" t="s">
        <v>119</v>
      </c>
      <c r="B12" s="89" t="s">
        <v>313</v>
      </c>
      <c r="C12" s="90">
        <f>C10-C13-C14-C15-C16</f>
        <v>12142.998000000061</v>
      </c>
      <c r="D12" s="304"/>
      <c r="E12" s="91">
        <v>4.34</v>
      </c>
      <c r="F12" s="86"/>
      <c r="G12" s="90">
        <f>G10-G13-G14-G15-G16</f>
        <v>12600.75600000007</v>
      </c>
      <c r="H12" s="304"/>
      <c r="I12" s="91">
        <v>4.34</v>
      </c>
      <c r="J12" s="86"/>
      <c r="K12" s="90">
        <f>C12+G12</f>
        <v>24743.754000000132</v>
      </c>
      <c r="L12" s="304"/>
      <c r="M12" s="91">
        <v>4.34</v>
      </c>
      <c r="N12" s="86"/>
    </row>
    <row r="13" spans="1:14" s="93" customFormat="1" ht="18" customHeight="1" x14ac:dyDescent="0.25">
      <c r="A13" s="88" t="s">
        <v>120</v>
      </c>
      <c r="B13" s="89" t="s">
        <v>314</v>
      </c>
      <c r="C13" s="90">
        <v>281072.70299999998</v>
      </c>
      <c r="D13" s="91"/>
      <c r="E13" s="92">
        <v>80.05</v>
      </c>
      <c r="F13" s="86"/>
      <c r="G13" s="90">
        <v>299614.37199999997</v>
      </c>
      <c r="H13" s="91"/>
      <c r="I13" s="92">
        <v>80.98</v>
      </c>
      <c r="J13" s="86"/>
      <c r="K13" s="90">
        <f t="shared" ref="K13:K16" si="0">C13+G13</f>
        <v>580687.07499999995</v>
      </c>
      <c r="L13" s="91"/>
      <c r="M13" s="92">
        <v>80.515000000000001</v>
      </c>
      <c r="N13" s="86"/>
    </row>
    <row r="14" spans="1:14" s="93" customFormat="1" ht="18" customHeight="1" x14ac:dyDescent="0.25">
      <c r="A14" s="88" t="s">
        <v>145</v>
      </c>
      <c r="B14" s="89" t="s">
        <v>315</v>
      </c>
      <c r="C14" s="90">
        <v>38334.6</v>
      </c>
      <c r="D14" s="91"/>
      <c r="E14" s="92">
        <v>10.497999999999999</v>
      </c>
      <c r="F14" s="86"/>
      <c r="G14" s="90">
        <v>40363.597999999998</v>
      </c>
      <c r="H14" s="91"/>
      <c r="I14" s="92">
        <v>10.852</v>
      </c>
      <c r="J14" s="86"/>
      <c r="K14" s="90">
        <f t="shared" si="0"/>
        <v>78698.198000000004</v>
      </c>
      <c r="L14" s="91"/>
      <c r="M14" s="92">
        <v>10.675000000000001</v>
      </c>
      <c r="N14" s="86"/>
    </row>
    <row r="15" spans="1:14" s="93" customFormat="1" ht="18" customHeight="1" x14ac:dyDescent="0.25">
      <c r="A15" s="88" t="s">
        <v>289</v>
      </c>
      <c r="B15" s="89" t="s">
        <v>316</v>
      </c>
      <c r="C15" s="90">
        <v>539.84</v>
      </c>
      <c r="D15" s="91"/>
      <c r="E15" s="92">
        <v>0.2</v>
      </c>
      <c r="F15" s="86"/>
      <c r="G15" s="90">
        <v>514.26300000000003</v>
      </c>
      <c r="H15" s="91"/>
      <c r="I15" s="92">
        <v>0.2</v>
      </c>
      <c r="J15" s="86"/>
      <c r="K15" s="90">
        <f t="shared" si="0"/>
        <v>1054.1030000000001</v>
      </c>
      <c r="L15" s="91"/>
      <c r="M15" s="92">
        <v>0.2</v>
      </c>
      <c r="N15" s="86"/>
    </row>
    <row r="16" spans="1:14" s="93" customFormat="1" ht="18" customHeight="1" x14ac:dyDescent="0.25">
      <c r="A16" s="88" t="s">
        <v>290</v>
      </c>
      <c r="B16" s="89" t="s">
        <v>291</v>
      </c>
      <c r="C16" s="90">
        <v>423.964</v>
      </c>
      <c r="D16" s="91"/>
      <c r="E16" s="92">
        <v>0.156</v>
      </c>
      <c r="F16" s="86"/>
      <c r="G16" s="90">
        <v>341.33300000000003</v>
      </c>
      <c r="H16" s="91"/>
      <c r="I16" s="92">
        <v>0.123</v>
      </c>
      <c r="J16" s="86"/>
      <c r="K16" s="90">
        <f t="shared" si="0"/>
        <v>765.29700000000003</v>
      </c>
      <c r="L16" s="91"/>
      <c r="M16" s="92">
        <v>0.14000000000000001</v>
      </c>
      <c r="N16" s="86"/>
    </row>
    <row r="17" spans="1:14" s="93" customFormat="1" ht="18" customHeight="1" x14ac:dyDescent="0.25">
      <c r="A17" s="94"/>
      <c r="B17" s="95" t="s">
        <v>146</v>
      </c>
      <c r="C17" s="96"/>
      <c r="D17" s="97"/>
      <c r="E17" s="99"/>
      <c r="F17" s="98"/>
      <c r="G17" s="96"/>
      <c r="H17" s="97"/>
      <c r="I17" s="99"/>
      <c r="J17" s="98"/>
      <c r="K17" s="96"/>
      <c r="L17" s="97"/>
      <c r="M17" s="99"/>
      <c r="N17" s="98"/>
    </row>
    <row r="18" spans="1:14" s="22" customFormat="1" ht="18" customHeight="1" x14ac:dyDescent="0.25">
      <c r="A18" s="112" t="s">
        <v>38</v>
      </c>
      <c r="B18" s="113" t="s">
        <v>147</v>
      </c>
      <c r="C18" s="235">
        <f>П1.4!D17</f>
        <v>7155.353000000001</v>
      </c>
      <c r="D18" s="236"/>
      <c r="E18" s="237">
        <f>П1.5!D17</f>
        <v>2.0670000000000002</v>
      </c>
      <c r="F18" s="100"/>
      <c r="G18" s="235">
        <f>П1.4!I17</f>
        <v>7253.4780000000001</v>
      </c>
      <c r="H18" s="236"/>
      <c r="I18" s="237">
        <f>П1.5!I17</f>
        <v>1.97</v>
      </c>
      <c r="J18" s="100"/>
      <c r="K18" s="233">
        <f t="shared" ref="K18:K19" si="1">C18+G18</f>
        <v>14408.831000000002</v>
      </c>
      <c r="L18" s="236"/>
      <c r="M18" s="237">
        <f>П1.5!N17</f>
        <v>2.0174999999999996</v>
      </c>
      <c r="N18" s="100"/>
    </row>
    <row r="19" spans="1:14" s="22" customFormat="1" ht="18" customHeight="1" x14ac:dyDescent="0.25">
      <c r="A19" s="112" t="s">
        <v>129</v>
      </c>
      <c r="B19" s="113" t="s">
        <v>148</v>
      </c>
      <c r="C19" s="235">
        <f>C10-C18</f>
        <v>325358.75200000004</v>
      </c>
      <c r="D19" s="236"/>
      <c r="E19" s="237">
        <f>E10-E18</f>
        <v>93.177000000000021</v>
      </c>
      <c r="F19" s="100"/>
      <c r="G19" s="235">
        <f>G10-G18</f>
        <v>346180.84400000004</v>
      </c>
      <c r="H19" s="236"/>
      <c r="I19" s="237">
        <f>I10-I18</f>
        <v>94.524999999999991</v>
      </c>
      <c r="J19" s="100"/>
      <c r="K19" s="233">
        <f t="shared" si="1"/>
        <v>671539.59600000014</v>
      </c>
      <c r="L19" s="236"/>
      <c r="M19" s="237">
        <f>M10-M18-0.001</f>
        <v>93.850999999999985</v>
      </c>
      <c r="N19" s="100"/>
    </row>
    <row r="20" spans="1:14" s="22" customFormat="1" ht="18" customHeight="1" x14ac:dyDescent="0.25">
      <c r="A20" s="106"/>
      <c r="B20" s="107" t="s">
        <v>149</v>
      </c>
      <c r="C20" s="108"/>
      <c r="D20" s="109"/>
      <c r="E20" s="110"/>
      <c r="F20" s="86"/>
      <c r="G20" s="108"/>
      <c r="H20" s="109"/>
      <c r="I20" s="110"/>
      <c r="J20" s="86"/>
      <c r="K20" s="108"/>
      <c r="L20" s="109"/>
      <c r="M20" s="110"/>
      <c r="N20" s="86"/>
    </row>
    <row r="21" spans="1:14" s="102" customFormat="1" ht="18" customHeight="1" x14ac:dyDescent="0.25">
      <c r="A21" s="112" t="s">
        <v>150</v>
      </c>
      <c r="B21" s="113" t="s">
        <v>151</v>
      </c>
      <c r="C21" s="235">
        <f>П1.4!D27</f>
        <v>289268.45199999999</v>
      </c>
      <c r="D21" s="236"/>
      <c r="E21" s="237">
        <f>П1.5!D27</f>
        <v>80.147999999999996</v>
      </c>
      <c r="F21" s="86"/>
      <c r="G21" s="235">
        <f>П1.4!I27</f>
        <v>312673.21599999996</v>
      </c>
      <c r="H21" s="236"/>
      <c r="I21" s="237">
        <f>П1.5!I27</f>
        <v>82.609000000000009</v>
      </c>
      <c r="J21" s="86"/>
      <c r="K21" s="233">
        <f t="shared" ref="K21:K22" si="2">C21+G21</f>
        <v>601941.66799999995</v>
      </c>
      <c r="L21" s="236"/>
      <c r="M21" s="237">
        <f>П1.5!N27</f>
        <v>81.378499999999988</v>
      </c>
      <c r="N21" s="86"/>
    </row>
    <row r="22" spans="1:14" s="102" customFormat="1" ht="18" customHeight="1" x14ac:dyDescent="0.25">
      <c r="A22" s="112" t="s">
        <v>152</v>
      </c>
      <c r="B22" s="113" t="s">
        <v>153</v>
      </c>
      <c r="C22" s="235">
        <f>П1.4!D23+П1.4!D29</f>
        <v>36090.300000000003</v>
      </c>
      <c r="D22" s="236"/>
      <c r="E22" s="237">
        <f>П1.5!D30+П1.5!D23</f>
        <v>13.029</v>
      </c>
      <c r="F22" s="86"/>
      <c r="G22" s="235">
        <f>П1.4!I23+П1.4!I29</f>
        <v>33507.627999999997</v>
      </c>
      <c r="H22" s="236"/>
      <c r="I22" s="237">
        <f>П1.5!I30+П1.5!I23</f>
        <v>11.916</v>
      </c>
      <c r="J22" s="86"/>
      <c r="K22" s="233">
        <f t="shared" si="2"/>
        <v>69597.928</v>
      </c>
      <c r="L22" s="236"/>
      <c r="M22" s="237">
        <f>П1.5!N23+П1.5!N30</f>
        <v>12.4725</v>
      </c>
      <c r="N22" s="86"/>
    </row>
    <row r="23" spans="1:14" s="93" customFormat="1" ht="18" customHeight="1" x14ac:dyDescent="0.25">
      <c r="A23" s="94"/>
      <c r="B23" s="95" t="s">
        <v>154</v>
      </c>
      <c r="C23" s="96"/>
      <c r="D23" s="97"/>
      <c r="E23" s="99"/>
      <c r="F23" s="98"/>
      <c r="G23" s="96"/>
      <c r="H23" s="97"/>
      <c r="I23" s="99"/>
      <c r="J23" s="98"/>
      <c r="K23" s="96"/>
      <c r="L23" s="97"/>
      <c r="M23" s="99"/>
      <c r="N23" s="98"/>
    </row>
    <row r="24" spans="1:14" s="49" customFormat="1" ht="18" customHeight="1" x14ac:dyDescent="0.25">
      <c r="A24" s="88" t="s">
        <v>155</v>
      </c>
      <c r="B24" s="89" t="str">
        <f>B12</f>
        <v>ПАО "ФСК ЕЭС"</v>
      </c>
      <c r="C24" s="90">
        <v>0</v>
      </c>
      <c r="D24" s="91"/>
      <c r="E24" s="92">
        <v>0</v>
      </c>
      <c r="F24" s="86"/>
      <c r="G24" s="90">
        <v>0</v>
      </c>
      <c r="H24" s="91"/>
      <c r="I24" s="92">
        <v>0</v>
      </c>
      <c r="J24" s="86"/>
      <c r="K24" s="90">
        <f t="shared" ref="K24:K39" si="3">C24+G24</f>
        <v>0</v>
      </c>
      <c r="L24" s="91"/>
      <c r="M24" s="92">
        <v>0</v>
      </c>
      <c r="N24" s="86"/>
    </row>
    <row r="25" spans="1:14" s="93" customFormat="1" ht="18" customHeight="1" x14ac:dyDescent="0.25">
      <c r="A25" s="88" t="s">
        <v>156</v>
      </c>
      <c r="B25" s="103" t="s">
        <v>157</v>
      </c>
      <c r="C25" s="90">
        <f>C24-C12</f>
        <v>-12142.998000000061</v>
      </c>
      <c r="D25" s="91"/>
      <c r="E25" s="92">
        <f>E24-E12</f>
        <v>-4.34</v>
      </c>
      <c r="F25" s="105"/>
      <c r="G25" s="90">
        <f>G24-G12</f>
        <v>-12600.75600000007</v>
      </c>
      <c r="H25" s="91"/>
      <c r="I25" s="92">
        <f>I24-I12</f>
        <v>-4.34</v>
      </c>
      <c r="J25" s="105"/>
      <c r="K25" s="90">
        <f t="shared" si="3"/>
        <v>-24743.754000000132</v>
      </c>
      <c r="L25" s="91"/>
      <c r="M25" s="92">
        <f>M24-M12</f>
        <v>-4.34</v>
      </c>
      <c r="N25" s="105"/>
    </row>
    <row r="26" spans="1:14" s="93" customFormat="1" ht="17.25" customHeight="1" x14ac:dyDescent="0.25">
      <c r="A26" s="88" t="s">
        <v>158</v>
      </c>
      <c r="B26" s="89" t="str">
        <f>B13</f>
        <v>ПАО "МРСК Сибири"-"Кузбассэнерго-РЭС"</v>
      </c>
      <c r="C26" s="90">
        <f>П1.6!C34</f>
        <v>164.55899999999997</v>
      </c>
      <c r="D26" s="91"/>
      <c r="E26" s="92">
        <f>П1.6!H34</f>
        <v>4.5999999999999999E-2</v>
      </c>
      <c r="F26" s="105"/>
      <c r="G26" s="90">
        <f>П1.6!C73</f>
        <v>78.230999999999995</v>
      </c>
      <c r="H26" s="91"/>
      <c r="I26" s="92">
        <f>П1.6!H73</f>
        <v>2.1999999999999999E-2</v>
      </c>
      <c r="J26" s="105"/>
      <c r="K26" s="90">
        <f t="shared" si="3"/>
        <v>242.78999999999996</v>
      </c>
      <c r="L26" s="91"/>
      <c r="M26" s="92">
        <f>П1.6!H113</f>
        <v>3.4000000000000002E-2</v>
      </c>
      <c r="N26" s="105"/>
    </row>
    <row r="27" spans="1:14" s="93" customFormat="1" ht="20.25" customHeight="1" x14ac:dyDescent="0.25">
      <c r="A27" s="88" t="s">
        <v>159</v>
      </c>
      <c r="B27" s="103" t="s">
        <v>160</v>
      </c>
      <c r="C27" s="90">
        <f>C26-C13</f>
        <v>-280908.14399999997</v>
      </c>
      <c r="D27" s="91"/>
      <c r="E27" s="92">
        <f>E26-E13</f>
        <v>-80.003999999999991</v>
      </c>
      <c r="F27" s="105"/>
      <c r="G27" s="90">
        <f>G26-G13</f>
        <v>-299536.14099999995</v>
      </c>
      <c r="H27" s="91"/>
      <c r="I27" s="92">
        <f>I26-I13</f>
        <v>-80.957999999999998</v>
      </c>
      <c r="J27" s="105"/>
      <c r="K27" s="90">
        <f t="shared" si="3"/>
        <v>-580444.28499999992</v>
      </c>
      <c r="L27" s="91"/>
      <c r="M27" s="92">
        <f>M26-M13</f>
        <v>-80.480999999999995</v>
      </c>
      <c r="N27" s="105"/>
    </row>
    <row r="28" spans="1:14" s="93" customFormat="1" ht="20.25" customHeight="1" x14ac:dyDescent="0.25">
      <c r="A28" s="88" t="s">
        <v>161</v>
      </c>
      <c r="B28" s="103" t="str">
        <f>B14</f>
        <v>АО "Электросеть"</v>
      </c>
      <c r="C28" s="90">
        <v>0</v>
      </c>
      <c r="D28" s="91"/>
      <c r="E28" s="92">
        <v>0</v>
      </c>
      <c r="F28" s="105"/>
      <c r="G28" s="90">
        <v>0</v>
      </c>
      <c r="H28" s="91"/>
      <c r="I28" s="92">
        <v>0</v>
      </c>
      <c r="J28" s="105"/>
      <c r="K28" s="90">
        <f t="shared" si="3"/>
        <v>0</v>
      </c>
      <c r="L28" s="91"/>
      <c r="M28" s="92">
        <v>0</v>
      </c>
      <c r="N28" s="105"/>
    </row>
    <row r="29" spans="1:14" s="93" customFormat="1" ht="20.25" customHeight="1" x14ac:dyDescent="0.25">
      <c r="A29" s="88" t="s">
        <v>292</v>
      </c>
      <c r="B29" s="103" t="s">
        <v>299</v>
      </c>
      <c r="C29" s="90">
        <f>C28-C14</f>
        <v>-38334.6</v>
      </c>
      <c r="D29" s="91"/>
      <c r="E29" s="92">
        <f>E28-E14</f>
        <v>-10.497999999999999</v>
      </c>
      <c r="F29" s="105"/>
      <c r="G29" s="90">
        <f>G28-G14</f>
        <v>-40363.597999999998</v>
      </c>
      <c r="H29" s="91"/>
      <c r="I29" s="92">
        <f>I28-I14</f>
        <v>-10.852</v>
      </c>
      <c r="J29" s="105"/>
      <c r="K29" s="90">
        <f t="shared" si="3"/>
        <v>-78698.198000000004</v>
      </c>
      <c r="L29" s="91"/>
      <c r="M29" s="92">
        <f>M28-M14</f>
        <v>-10.675000000000001</v>
      </c>
      <c r="N29" s="105"/>
    </row>
    <row r="30" spans="1:14" s="93" customFormat="1" ht="20.25" customHeight="1" x14ac:dyDescent="0.25">
      <c r="A30" s="88" t="s">
        <v>293</v>
      </c>
      <c r="B30" s="103" t="str">
        <f>B15</f>
        <v>АО "СибПСК"</v>
      </c>
      <c r="C30" s="90">
        <v>0</v>
      </c>
      <c r="D30" s="91"/>
      <c r="E30" s="92">
        <v>0</v>
      </c>
      <c r="F30" s="105"/>
      <c r="G30" s="90">
        <v>0</v>
      </c>
      <c r="H30" s="91"/>
      <c r="I30" s="92">
        <v>0</v>
      </c>
      <c r="J30" s="105"/>
      <c r="K30" s="90">
        <f t="shared" si="3"/>
        <v>0</v>
      </c>
      <c r="L30" s="91"/>
      <c r="M30" s="92">
        <v>0</v>
      </c>
      <c r="N30" s="105"/>
    </row>
    <row r="31" spans="1:14" s="93" customFormat="1" ht="20.25" customHeight="1" x14ac:dyDescent="0.25">
      <c r="A31" s="88" t="s">
        <v>297</v>
      </c>
      <c r="B31" s="103" t="s">
        <v>300</v>
      </c>
      <c r="C31" s="90">
        <f>C30-C15</f>
        <v>-539.84</v>
      </c>
      <c r="D31" s="91"/>
      <c r="E31" s="92">
        <f>E30-E15</f>
        <v>-0.2</v>
      </c>
      <c r="F31" s="105"/>
      <c r="G31" s="90">
        <f>G30-G15</f>
        <v>-514.26300000000003</v>
      </c>
      <c r="H31" s="91"/>
      <c r="I31" s="92">
        <f>I30-I15</f>
        <v>-0.2</v>
      </c>
      <c r="J31" s="105"/>
      <c r="K31" s="90">
        <f t="shared" si="3"/>
        <v>-1054.1030000000001</v>
      </c>
      <c r="L31" s="91"/>
      <c r="M31" s="92">
        <f>M30-M15</f>
        <v>-0.2</v>
      </c>
      <c r="N31" s="105"/>
    </row>
    <row r="32" spans="1:14" s="93" customFormat="1" ht="20.25" customHeight="1" x14ac:dyDescent="0.25">
      <c r="A32" s="88" t="s">
        <v>294</v>
      </c>
      <c r="B32" s="103" t="str">
        <f>B16</f>
        <v>ОАО "РЖД"</v>
      </c>
      <c r="C32" s="90">
        <v>0</v>
      </c>
      <c r="D32" s="91"/>
      <c r="E32" s="92">
        <v>0</v>
      </c>
      <c r="F32" s="105"/>
      <c r="G32" s="90">
        <v>0</v>
      </c>
      <c r="H32" s="91"/>
      <c r="I32" s="92">
        <v>0</v>
      </c>
      <c r="J32" s="105"/>
      <c r="K32" s="90">
        <f t="shared" si="3"/>
        <v>0</v>
      </c>
      <c r="L32" s="91"/>
      <c r="M32" s="92">
        <v>0</v>
      </c>
      <c r="N32" s="105"/>
    </row>
    <row r="33" spans="1:14" s="93" customFormat="1" ht="20.25" customHeight="1" x14ac:dyDescent="0.25">
      <c r="A33" s="88" t="s">
        <v>298</v>
      </c>
      <c r="B33" s="103" t="s">
        <v>300</v>
      </c>
      <c r="C33" s="90">
        <f>C32-C16</f>
        <v>-423.964</v>
      </c>
      <c r="D33" s="91"/>
      <c r="E33" s="92">
        <f>E32-E16</f>
        <v>-0.156</v>
      </c>
      <c r="F33" s="105"/>
      <c r="G33" s="90">
        <f>G32-G16</f>
        <v>-341.33300000000003</v>
      </c>
      <c r="H33" s="91"/>
      <c r="I33" s="92">
        <f>I32-I16</f>
        <v>-0.123</v>
      </c>
      <c r="J33" s="105"/>
      <c r="K33" s="90">
        <f t="shared" si="3"/>
        <v>-765.29700000000003</v>
      </c>
      <c r="L33" s="91"/>
      <c r="M33" s="92">
        <f>M32-M16</f>
        <v>-0.14000000000000001</v>
      </c>
      <c r="N33" s="105"/>
    </row>
    <row r="34" spans="1:14" s="93" customFormat="1" ht="20.25" customHeight="1" x14ac:dyDescent="0.25">
      <c r="A34" s="88" t="s">
        <v>295</v>
      </c>
      <c r="B34" s="103" t="str">
        <f>П1.6!B114</f>
        <v>ООО "КЭнК"</v>
      </c>
      <c r="C34" s="90">
        <f>П1.6!C35</f>
        <v>31089.728999999999</v>
      </c>
      <c r="D34" s="91"/>
      <c r="E34" s="92">
        <f>П1.6!H35</f>
        <v>11.667</v>
      </c>
      <c r="F34" s="105"/>
      <c r="G34" s="90">
        <f>П1.6!C74</f>
        <v>29502.755000000001</v>
      </c>
      <c r="H34" s="91"/>
      <c r="I34" s="92">
        <f>П1.6!H74</f>
        <v>10.603999999999999</v>
      </c>
      <c r="J34" s="105"/>
      <c r="K34" s="90">
        <f t="shared" si="3"/>
        <v>60592.483999999997</v>
      </c>
      <c r="L34" s="91"/>
      <c r="M34" s="92">
        <f>П1.6!H114</f>
        <v>11.135999999999999</v>
      </c>
      <c r="N34" s="105"/>
    </row>
    <row r="35" spans="1:14" s="93" customFormat="1" ht="20.25" customHeight="1" x14ac:dyDescent="0.25">
      <c r="A35" s="88" t="s">
        <v>296</v>
      </c>
      <c r="B35" s="103" t="str">
        <f>П1.6!B115</f>
        <v>ООО "СКЭК"</v>
      </c>
      <c r="C35" s="90">
        <f>П1.6!C36</f>
        <v>4545.9059999999999</v>
      </c>
      <c r="D35" s="91"/>
      <c r="E35" s="92">
        <f>П1.6!H36</f>
        <v>1.2</v>
      </c>
      <c r="F35" s="105"/>
      <c r="G35" s="90">
        <f>П1.6!C75</f>
        <v>3690.14</v>
      </c>
      <c r="H35" s="91"/>
      <c r="I35" s="92">
        <f>П1.6!H75</f>
        <v>1.2</v>
      </c>
      <c r="J35" s="105"/>
      <c r="K35" s="90">
        <f t="shared" si="3"/>
        <v>8236.0460000000003</v>
      </c>
      <c r="L35" s="91"/>
      <c r="M35" s="92">
        <f>П1.6!H115</f>
        <v>1.2</v>
      </c>
      <c r="N35" s="105"/>
    </row>
    <row r="36" spans="1:14" s="93" customFormat="1" ht="20.25" hidden="1" customHeight="1" x14ac:dyDescent="0.25">
      <c r="A36" s="88" t="s">
        <v>301</v>
      </c>
      <c r="B36" s="103">
        <f>П1.6!B116</f>
        <v>0</v>
      </c>
      <c r="C36" s="90">
        <f>П1.6!C37</f>
        <v>0</v>
      </c>
      <c r="D36" s="91"/>
      <c r="E36" s="92">
        <f>П1.6!H37</f>
        <v>0</v>
      </c>
      <c r="F36" s="105"/>
      <c r="G36" s="90">
        <f>П1.6!C76</f>
        <v>0</v>
      </c>
      <c r="H36" s="91"/>
      <c r="I36" s="92">
        <f>П1.6!H76</f>
        <v>0</v>
      </c>
      <c r="J36" s="105"/>
      <c r="K36" s="90">
        <f t="shared" si="3"/>
        <v>0</v>
      </c>
      <c r="L36" s="91"/>
      <c r="M36" s="92">
        <f>П1.6!H116</f>
        <v>0</v>
      </c>
      <c r="N36" s="105"/>
    </row>
    <row r="37" spans="1:14" s="93" customFormat="1" ht="20.25" customHeight="1" x14ac:dyDescent="0.25">
      <c r="A37" s="88" t="s">
        <v>302</v>
      </c>
      <c r="B37" s="103" t="str">
        <f>П1.6!B117</f>
        <v>ООО "Кемэнерго"</v>
      </c>
      <c r="C37" s="90">
        <f>П1.6!C38</f>
        <v>10.262</v>
      </c>
      <c r="D37" s="91"/>
      <c r="E37" s="92">
        <f>П1.6!H38</f>
        <v>3.0000000000000001E-3</v>
      </c>
      <c r="F37" s="105"/>
      <c r="G37" s="90">
        <f>П1.6!C77</f>
        <v>0</v>
      </c>
      <c r="H37" s="91"/>
      <c r="I37" s="92">
        <f>П1.6!H77</f>
        <v>0</v>
      </c>
      <c r="J37" s="105"/>
      <c r="K37" s="90">
        <f t="shared" si="3"/>
        <v>10.262</v>
      </c>
      <c r="L37" s="91"/>
      <c r="M37" s="92">
        <f>П1.6!H117</f>
        <v>2E-3</v>
      </c>
      <c r="N37" s="105"/>
    </row>
    <row r="38" spans="1:14" s="93" customFormat="1" ht="20.25" hidden="1" customHeight="1" x14ac:dyDescent="0.25">
      <c r="A38" s="88" t="s">
        <v>310</v>
      </c>
      <c r="B38" s="103" t="s">
        <v>309</v>
      </c>
      <c r="C38" s="90">
        <v>0</v>
      </c>
      <c r="D38" s="91"/>
      <c r="E38" s="92">
        <v>0</v>
      </c>
      <c r="F38" s="105"/>
      <c r="G38" s="90">
        <f>П1.6!C78</f>
        <v>0</v>
      </c>
      <c r="H38" s="91"/>
      <c r="I38" s="92">
        <f>П1.6!H78</f>
        <v>0</v>
      </c>
      <c r="J38" s="105"/>
      <c r="K38" s="90">
        <f t="shared" ref="K38" si="4">C38+G38</f>
        <v>0</v>
      </c>
      <c r="L38" s="91"/>
      <c r="M38" s="92">
        <f>П1.6!K118</f>
        <v>0</v>
      </c>
      <c r="N38" s="105"/>
    </row>
    <row r="39" spans="1:14" s="93" customFormat="1" ht="20.25" customHeight="1" x14ac:dyDescent="0.25">
      <c r="A39" s="88" t="s">
        <v>311</v>
      </c>
      <c r="B39" s="103" t="s">
        <v>278</v>
      </c>
      <c r="C39" s="90">
        <f>П1.4!D23</f>
        <v>279.84399999999999</v>
      </c>
      <c r="D39" s="91"/>
      <c r="E39" s="92">
        <f>П1.5!D23</f>
        <v>0.113</v>
      </c>
      <c r="F39" s="105"/>
      <c r="G39" s="90">
        <f>П1.4!I23</f>
        <v>236.50200000000001</v>
      </c>
      <c r="H39" s="91"/>
      <c r="I39" s="92">
        <f>П1.5!I23</f>
        <v>0.09</v>
      </c>
      <c r="J39" s="105"/>
      <c r="K39" s="90">
        <f t="shared" si="3"/>
        <v>516.346</v>
      </c>
      <c r="L39" s="91"/>
      <c r="M39" s="92">
        <f>П1.5!N23</f>
        <v>0.10050000000000001</v>
      </c>
      <c r="N39" s="105"/>
    </row>
    <row r="40" spans="1:14" s="93" customFormat="1" ht="20.25" hidden="1" customHeight="1" x14ac:dyDescent="0.25">
      <c r="A40" s="88"/>
      <c r="B40" s="103"/>
      <c r="C40" s="90"/>
      <c r="D40" s="91"/>
      <c r="E40" s="92"/>
      <c r="F40" s="105"/>
      <c r="G40" s="90"/>
      <c r="H40" s="91"/>
      <c r="I40" s="92"/>
      <c r="J40" s="105"/>
      <c r="K40" s="90"/>
      <c r="L40" s="91"/>
      <c r="M40" s="92"/>
      <c r="N40" s="105"/>
    </row>
    <row r="41" spans="1:14" s="93" customFormat="1" ht="20.25" hidden="1" customHeight="1" x14ac:dyDescent="0.25">
      <c r="A41" s="88"/>
      <c r="B41" s="103"/>
      <c r="C41" s="90"/>
      <c r="D41" s="91"/>
      <c r="E41" s="92"/>
      <c r="F41" s="105"/>
      <c r="G41" s="90"/>
      <c r="H41" s="91"/>
      <c r="I41" s="92"/>
      <c r="J41" s="105"/>
      <c r="K41" s="90"/>
      <c r="L41" s="91"/>
      <c r="M41" s="92"/>
      <c r="N41" s="105"/>
    </row>
    <row r="42" spans="1:14" s="93" customFormat="1" ht="20.25" hidden="1" customHeight="1" x14ac:dyDescent="0.25">
      <c r="A42" s="88"/>
      <c r="B42" s="103"/>
      <c r="C42" s="90"/>
      <c r="D42" s="91"/>
      <c r="E42" s="92"/>
      <c r="F42" s="105"/>
      <c r="G42" s="90"/>
      <c r="H42" s="91"/>
      <c r="I42" s="92"/>
      <c r="J42" s="105"/>
      <c r="K42" s="90"/>
      <c r="L42" s="91"/>
      <c r="M42" s="92"/>
      <c r="N42" s="105"/>
    </row>
    <row r="43" spans="1:14" s="93" customFormat="1" ht="20.25" hidden="1" customHeight="1" x14ac:dyDescent="0.25">
      <c r="A43" s="88"/>
      <c r="B43" s="103"/>
      <c r="C43" s="90"/>
      <c r="D43" s="91"/>
      <c r="E43" s="92"/>
      <c r="F43" s="105"/>
      <c r="G43" s="90"/>
      <c r="H43" s="91"/>
      <c r="I43" s="92"/>
      <c r="J43" s="105"/>
      <c r="K43" s="90"/>
      <c r="L43" s="91"/>
      <c r="M43" s="92"/>
      <c r="N43" s="105"/>
    </row>
    <row r="44" spans="1:14" s="49" customFormat="1" ht="15.75" hidden="1" customHeight="1" x14ac:dyDescent="0.25">
      <c r="A44" s="88" t="s">
        <v>161</v>
      </c>
      <c r="B44" s="89" t="s">
        <v>146</v>
      </c>
      <c r="C44" s="90"/>
      <c r="D44" s="91"/>
      <c r="E44" s="92"/>
      <c r="F44" s="105"/>
      <c r="G44" s="90"/>
      <c r="H44" s="91"/>
      <c r="I44" s="92"/>
      <c r="J44" s="105"/>
      <c r="K44" s="90"/>
      <c r="L44" s="91"/>
      <c r="M44" s="92"/>
      <c r="N44" s="105"/>
    </row>
    <row r="45" spans="1:14" s="49" customFormat="1" ht="18" customHeight="1" x14ac:dyDescent="0.25">
      <c r="A45" s="106" t="s">
        <v>131</v>
      </c>
      <c r="B45" s="107" t="s">
        <v>162</v>
      </c>
      <c r="C45" s="108"/>
      <c r="D45" s="109"/>
      <c r="E45" s="110"/>
      <c r="F45" s="86"/>
      <c r="G45" s="108"/>
      <c r="H45" s="109"/>
      <c r="I45" s="110"/>
      <c r="J45" s="86"/>
      <c r="K45" s="108"/>
      <c r="L45" s="109"/>
      <c r="M45" s="110"/>
      <c r="N45" s="86"/>
    </row>
    <row r="46" spans="1:14" s="49" customFormat="1" ht="18" customHeight="1" x14ac:dyDescent="0.25">
      <c r="A46" s="106"/>
      <c r="B46" s="107" t="s">
        <v>142</v>
      </c>
      <c r="C46" s="108"/>
      <c r="D46" s="109"/>
      <c r="E46" s="110"/>
      <c r="F46" s="86"/>
      <c r="G46" s="108"/>
      <c r="H46" s="109"/>
      <c r="I46" s="110"/>
      <c r="J46" s="86"/>
      <c r="K46" s="108"/>
      <c r="L46" s="109"/>
      <c r="M46" s="110"/>
      <c r="N46" s="100"/>
    </row>
    <row r="47" spans="1:14" s="49" customFormat="1" ht="18" customHeight="1" x14ac:dyDescent="0.25">
      <c r="A47" s="106" t="s">
        <v>163</v>
      </c>
      <c r="B47" s="107" t="s">
        <v>140</v>
      </c>
      <c r="C47" s="108"/>
      <c r="D47" s="109"/>
      <c r="E47" s="110"/>
      <c r="F47" s="86"/>
      <c r="G47" s="108"/>
      <c r="H47" s="109"/>
      <c r="I47" s="110"/>
      <c r="J47" s="86"/>
      <c r="K47" s="108"/>
      <c r="L47" s="109"/>
      <c r="M47" s="110"/>
      <c r="N47" s="86"/>
    </row>
    <row r="48" spans="1:14" s="49" customFormat="1" ht="18" customHeight="1" x14ac:dyDescent="0.25">
      <c r="A48" s="106" t="s">
        <v>164</v>
      </c>
      <c r="B48" s="107" t="s">
        <v>141</v>
      </c>
      <c r="C48" s="108"/>
      <c r="D48" s="109"/>
      <c r="E48" s="110"/>
      <c r="F48" s="86"/>
      <c r="G48" s="108"/>
      <c r="H48" s="109"/>
      <c r="I48" s="110"/>
      <c r="J48" s="86"/>
      <c r="K48" s="108"/>
      <c r="L48" s="109"/>
      <c r="M48" s="110"/>
      <c r="N48" s="86"/>
    </row>
    <row r="49" spans="1:14" s="49" customFormat="1" ht="18" customHeight="1" x14ac:dyDescent="0.25">
      <c r="A49" s="106"/>
      <c r="B49" s="107" t="s">
        <v>142</v>
      </c>
      <c r="C49" s="108"/>
      <c r="D49" s="109"/>
      <c r="E49" s="110"/>
      <c r="F49" s="86"/>
      <c r="G49" s="108"/>
      <c r="H49" s="109"/>
      <c r="I49" s="110"/>
      <c r="J49" s="86"/>
      <c r="K49" s="108"/>
      <c r="L49" s="109"/>
      <c r="M49" s="110"/>
      <c r="N49" s="86"/>
    </row>
    <row r="50" spans="1:14" s="49" customFormat="1" ht="18" customHeight="1" x14ac:dyDescent="0.25">
      <c r="A50" s="106" t="s">
        <v>165</v>
      </c>
      <c r="B50" s="107" t="s">
        <v>143</v>
      </c>
      <c r="C50" s="108"/>
      <c r="D50" s="109"/>
      <c r="E50" s="110"/>
      <c r="F50" s="86"/>
      <c r="G50" s="108"/>
      <c r="H50" s="109"/>
      <c r="I50" s="110"/>
      <c r="J50" s="86"/>
      <c r="K50" s="108"/>
      <c r="L50" s="109"/>
      <c r="M50" s="110"/>
      <c r="N50" s="86"/>
    </row>
    <row r="51" spans="1:14" s="49" customFormat="1" ht="18" customHeight="1" x14ac:dyDescent="0.25">
      <c r="A51" s="106" t="s">
        <v>166</v>
      </c>
      <c r="B51" s="107" t="s">
        <v>144</v>
      </c>
      <c r="C51" s="108"/>
      <c r="D51" s="109"/>
      <c r="E51" s="110"/>
      <c r="F51" s="86"/>
      <c r="G51" s="108"/>
      <c r="H51" s="109"/>
      <c r="I51" s="110"/>
      <c r="J51" s="86"/>
      <c r="K51" s="108"/>
      <c r="L51" s="109"/>
      <c r="M51" s="110"/>
      <c r="N51" s="86"/>
    </row>
    <row r="52" spans="1:14" s="49" customFormat="1" ht="18" customHeight="1" x14ac:dyDescent="0.25">
      <c r="A52" s="106"/>
      <c r="B52" s="107" t="s">
        <v>167</v>
      </c>
      <c r="C52" s="108"/>
      <c r="D52" s="109"/>
      <c r="E52" s="110"/>
      <c r="F52" s="86"/>
      <c r="G52" s="108"/>
      <c r="H52" s="109"/>
      <c r="I52" s="110"/>
      <c r="J52" s="86"/>
      <c r="K52" s="108"/>
      <c r="L52" s="109"/>
      <c r="M52" s="110"/>
      <c r="N52" s="86"/>
    </row>
    <row r="53" spans="1:14" s="49" customFormat="1" ht="18" customHeight="1" x14ac:dyDescent="0.25">
      <c r="A53" s="106" t="s">
        <v>168</v>
      </c>
      <c r="B53" s="107" t="s">
        <v>169</v>
      </c>
      <c r="C53" s="108"/>
      <c r="D53" s="109"/>
      <c r="E53" s="110"/>
      <c r="F53" s="86"/>
      <c r="G53" s="108"/>
      <c r="H53" s="109"/>
      <c r="I53" s="110"/>
      <c r="J53" s="86"/>
      <c r="K53" s="108"/>
      <c r="L53" s="109"/>
      <c r="M53" s="110"/>
      <c r="N53" s="86"/>
    </row>
    <row r="54" spans="1:14" s="49" customFormat="1" ht="18" customHeight="1" x14ac:dyDescent="0.25">
      <c r="A54" s="106" t="s">
        <v>170</v>
      </c>
      <c r="B54" s="107" t="s">
        <v>171</v>
      </c>
      <c r="C54" s="108"/>
      <c r="D54" s="109"/>
      <c r="E54" s="110"/>
      <c r="F54" s="86"/>
      <c r="G54" s="108"/>
      <c r="H54" s="109"/>
      <c r="I54" s="110"/>
      <c r="J54" s="86"/>
      <c r="K54" s="108"/>
      <c r="L54" s="109"/>
      <c r="M54" s="110"/>
      <c r="N54" s="86"/>
    </row>
    <row r="55" spans="1:14" s="49" customFormat="1" ht="18" customHeight="1" x14ac:dyDescent="0.25">
      <c r="A55" s="106"/>
      <c r="B55" s="107" t="s">
        <v>149</v>
      </c>
      <c r="C55" s="108"/>
      <c r="D55" s="109"/>
      <c r="E55" s="110"/>
      <c r="F55" s="86"/>
      <c r="G55" s="108"/>
      <c r="H55" s="109"/>
      <c r="I55" s="110"/>
      <c r="J55" s="86"/>
      <c r="K55" s="108"/>
      <c r="L55" s="109"/>
      <c r="M55" s="110"/>
      <c r="N55" s="86"/>
    </row>
    <row r="56" spans="1:14" s="49" customFormat="1" ht="18" customHeight="1" x14ac:dyDescent="0.25">
      <c r="A56" s="106" t="s">
        <v>172</v>
      </c>
      <c r="B56" s="107" t="s">
        <v>151</v>
      </c>
      <c r="C56" s="108"/>
      <c r="D56" s="109"/>
      <c r="E56" s="110"/>
      <c r="F56" s="86"/>
      <c r="G56" s="108"/>
      <c r="H56" s="109"/>
      <c r="I56" s="110"/>
      <c r="J56" s="86"/>
      <c r="K56" s="108"/>
      <c r="L56" s="109"/>
      <c r="M56" s="110"/>
      <c r="N56" s="86"/>
    </row>
    <row r="57" spans="1:14" s="49" customFormat="1" ht="18" customHeight="1" x14ac:dyDescent="0.25">
      <c r="A57" s="106" t="s">
        <v>173</v>
      </c>
      <c r="B57" s="107" t="s">
        <v>153</v>
      </c>
      <c r="C57" s="108"/>
      <c r="D57" s="109"/>
      <c r="E57" s="110"/>
      <c r="F57" s="86"/>
      <c r="G57" s="108"/>
      <c r="H57" s="109"/>
      <c r="I57" s="110"/>
      <c r="J57" s="86"/>
      <c r="K57" s="108"/>
      <c r="L57" s="109"/>
      <c r="M57" s="110"/>
      <c r="N57" s="86"/>
    </row>
    <row r="58" spans="1:14" s="49" customFormat="1" ht="18" customHeight="1" x14ac:dyDescent="0.25">
      <c r="A58" s="106"/>
      <c r="B58" s="107" t="s">
        <v>154</v>
      </c>
      <c r="C58" s="108"/>
      <c r="D58" s="109"/>
      <c r="E58" s="110"/>
      <c r="F58" s="86"/>
      <c r="G58" s="108"/>
      <c r="H58" s="109"/>
      <c r="I58" s="110"/>
      <c r="J58" s="86"/>
      <c r="K58" s="108"/>
      <c r="L58" s="109"/>
      <c r="M58" s="110"/>
      <c r="N58" s="86"/>
    </row>
    <row r="59" spans="1:14" s="49" customFormat="1" ht="18" customHeight="1" x14ac:dyDescent="0.25">
      <c r="A59" s="106" t="s">
        <v>174</v>
      </c>
      <c r="B59" s="107" t="s">
        <v>143</v>
      </c>
      <c r="C59" s="108"/>
      <c r="D59" s="109"/>
      <c r="E59" s="110"/>
      <c r="F59" s="86"/>
      <c r="G59" s="108"/>
      <c r="H59" s="109"/>
      <c r="I59" s="110"/>
      <c r="J59" s="86"/>
      <c r="K59" s="108"/>
      <c r="L59" s="109"/>
      <c r="M59" s="110"/>
      <c r="N59" s="86"/>
    </row>
    <row r="60" spans="1:14" s="49" customFormat="1" ht="18" customHeight="1" x14ac:dyDescent="0.25">
      <c r="A60" s="106" t="s">
        <v>175</v>
      </c>
      <c r="B60" s="107" t="s">
        <v>176</v>
      </c>
      <c r="C60" s="108"/>
      <c r="D60" s="109"/>
      <c r="E60" s="110"/>
      <c r="F60" s="86"/>
      <c r="G60" s="108"/>
      <c r="H60" s="109"/>
      <c r="I60" s="110"/>
      <c r="J60" s="86"/>
      <c r="K60" s="108"/>
      <c r="L60" s="109"/>
      <c r="M60" s="110"/>
      <c r="N60" s="86"/>
    </row>
    <row r="61" spans="1:14" s="49" customFormat="1" ht="18" customHeight="1" x14ac:dyDescent="0.25">
      <c r="A61" s="106" t="s">
        <v>177</v>
      </c>
      <c r="B61" s="107" t="s">
        <v>144</v>
      </c>
      <c r="C61" s="108"/>
      <c r="D61" s="109"/>
      <c r="E61" s="110"/>
      <c r="F61" s="86"/>
      <c r="G61" s="108"/>
      <c r="H61" s="109"/>
      <c r="I61" s="110"/>
      <c r="J61" s="86"/>
      <c r="K61" s="108"/>
      <c r="L61" s="109"/>
      <c r="M61" s="110"/>
      <c r="N61" s="86"/>
    </row>
    <row r="62" spans="1:14" s="49" customFormat="1" ht="18" customHeight="1" x14ac:dyDescent="0.25">
      <c r="A62" s="106" t="s">
        <v>178</v>
      </c>
      <c r="B62" s="107" t="s">
        <v>160</v>
      </c>
      <c r="C62" s="108"/>
      <c r="D62" s="109"/>
      <c r="E62" s="110"/>
      <c r="F62" s="86"/>
      <c r="G62" s="108"/>
      <c r="H62" s="109"/>
      <c r="I62" s="110"/>
      <c r="J62" s="86"/>
      <c r="K62" s="108"/>
      <c r="L62" s="109"/>
      <c r="M62" s="110"/>
      <c r="N62" s="86"/>
    </row>
    <row r="63" spans="1:14" s="49" customFormat="1" ht="18" customHeight="1" x14ac:dyDescent="0.25">
      <c r="A63" s="106"/>
      <c r="B63" s="107" t="s">
        <v>167</v>
      </c>
      <c r="C63" s="108"/>
      <c r="D63" s="109"/>
      <c r="E63" s="110"/>
      <c r="F63" s="86"/>
      <c r="G63" s="108"/>
      <c r="H63" s="109"/>
      <c r="I63" s="110"/>
      <c r="J63" s="86"/>
      <c r="K63" s="108"/>
      <c r="L63" s="109"/>
      <c r="M63" s="110"/>
      <c r="N63" s="86"/>
    </row>
    <row r="64" spans="1:14" s="49" customFormat="1" ht="18" customHeight="1" x14ac:dyDescent="0.25">
      <c r="A64" s="106" t="s">
        <v>179</v>
      </c>
      <c r="B64" s="107" t="s">
        <v>180</v>
      </c>
      <c r="C64" s="108"/>
      <c r="D64" s="109"/>
      <c r="E64" s="110"/>
      <c r="F64" s="86"/>
      <c r="G64" s="108"/>
      <c r="H64" s="109"/>
      <c r="I64" s="110"/>
      <c r="J64" s="86"/>
      <c r="K64" s="108"/>
      <c r="L64" s="109"/>
      <c r="M64" s="110"/>
      <c r="N64" s="86"/>
    </row>
    <row r="65" spans="1:14" s="49" customFormat="1" ht="18" customHeight="1" x14ac:dyDescent="0.25">
      <c r="A65" s="106" t="s">
        <v>181</v>
      </c>
      <c r="B65" s="111" t="s">
        <v>182</v>
      </c>
      <c r="C65" s="108"/>
      <c r="D65" s="109"/>
      <c r="E65" s="110"/>
      <c r="F65" s="86"/>
      <c r="G65" s="108"/>
      <c r="H65" s="109"/>
      <c r="I65" s="110"/>
      <c r="J65" s="86"/>
      <c r="K65" s="108"/>
      <c r="L65" s="109"/>
      <c r="M65" s="110"/>
      <c r="N65" s="86"/>
    </row>
    <row r="66" spans="1:14" s="49" customFormat="1" ht="18" customHeight="1" x14ac:dyDescent="0.25">
      <c r="A66" s="106" t="s">
        <v>183</v>
      </c>
      <c r="B66" s="111" t="s">
        <v>184</v>
      </c>
      <c r="C66" s="108"/>
      <c r="D66" s="109"/>
      <c r="E66" s="110"/>
      <c r="F66" s="86"/>
      <c r="G66" s="108"/>
      <c r="H66" s="109"/>
      <c r="I66" s="110"/>
      <c r="J66" s="86"/>
      <c r="K66" s="108"/>
      <c r="L66" s="109"/>
      <c r="M66" s="110"/>
      <c r="N66" s="86"/>
    </row>
    <row r="67" spans="1:14" s="49" customFormat="1" ht="18" customHeight="1" x14ac:dyDescent="0.25">
      <c r="A67" s="106" t="s">
        <v>185</v>
      </c>
      <c r="B67" s="111" t="s">
        <v>186</v>
      </c>
      <c r="C67" s="108"/>
      <c r="D67" s="109"/>
      <c r="E67" s="110"/>
      <c r="F67" s="86"/>
      <c r="G67" s="108"/>
      <c r="H67" s="109"/>
      <c r="I67" s="110"/>
      <c r="J67" s="86"/>
      <c r="K67" s="108"/>
      <c r="L67" s="109"/>
      <c r="M67" s="110"/>
      <c r="N67" s="86"/>
    </row>
    <row r="68" spans="1:14" s="49" customFormat="1" ht="18" customHeight="1" x14ac:dyDescent="0.25">
      <c r="A68" s="106" t="s">
        <v>187</v>
      </c>
      <c r="B68" s="111" t="s">
        <v>188</v>
      </c>
      <c r="C68" s="108"/>
      <c r="D68" s="109"/>
      <c r="E68" s="110"/>
      <c r="F68" s="86"/>
      <c r="G68" s="108"/>
      <c r="H68" s="109"/>
      <c r="I68" s="110"/>
      <c r="J68" s="86"/>
      <c r="K68" s="108"/>
      <c r="L68" s="109"/>
      <c r="M68" s="110"/>
      <c r="N68" s="86"/>
    </row>
    <row r="69" spans="1:14" s="22" customFormat="1" ht="18" customHeight="1" x14ac:dyDescent="0.25">
      <c r="A69" s="112" t="s">
        <v>189</v>
      </c>
      <c r="B69" s="113" t="s">
        <v>190</v>
      </c>
      <c r="C69" s="90">
        <f>П1.4!E16</f>
        <v>291259.24400000001</v>
      </c>
      <c r="D69" s="91"/>
      <c r="E69" s="92">
        <f>П1.5!E7</f>
        <v>84.162000000000006</v>
      </c>
      <c r="F69" s="86"/>
      <c r="G69" s="90">
        <f>П1.4!J7</f>
        <v>298728.53700000001</v>
      </c>
      <c r="H69" s="91"/>
      <c r="I69" s="92">
        <f>П1.5!J7</f>
        <v>80.319999999999993</v>
      </c>
      <c r="J69" s="86"/>
      <c r="K69" s="90">
        <f t="shared" ref="K69" si="5">C69+G69</f>
        <v>589987.78099999996</v>
      </c>
      <c r="L69" s="91"/>
      <c r="M69" s="92">
        <f>П1.5!O7</f>
        <v>82.241</v>
      </c>
      <c r="N69" s="86"/>
    </row>
    <row r="70" spans="1:14" s="93" customFormat="1" ht="18" customHeight="1" x14ac:dyDescent="0.25">
      <c r="A70" s="94"/>
      <c r="B70" s="95" t="s">
        <v>142</v>
      </c>
      <c r="C70" s="96"/>
      <c r="D70" s="97"/>
      <c r="E70" s="99"/>
      <c r="F70" s="98"/>
      <c r="G70" s="96"/>
      <c r="H70" s="97"/>
      <c r="I70" s="99"/>
      <c r="J70" s="98"/>
      <c r="K70" s="96"/>
      <c r="L70" s="97"/>
      <c r="M70" s="99"/>
      <c r="N70" s="98"/>
    </row>
    <row r="71" spans="1:14" s="22" customFormat="1" ht="18" customHeight="1" x14ac:dyDescent="0.25">
      <c r="A71" s="112" t="s">
        <v>191</v>
      </c>
      <c r="B71" s="113" t="s">
        <v>192</v>
      </c>
      <c r="C71" s="90">
        <v>0</v>
      </c>
      <c r="D71" s="91"/>
      <c r="E71" s="92">
        <v>0</v>
      </c>
      <c r="F71" s="86"/>
      <c r="G71" s="90">
        <v>0</v>
      </c>
      <c r="H71" s="91"/>
      <c r="I71" s="92">
        <v>0</v>
      </c>
      <c r="J71" s="86"/>
      <c r="K71" s="90">
        <f t="shared" ref="K71:K72" si="6">C71+G71</f>
        <v>0</v>
      </c>
      <c r="L71" s="91"/>
      <c r="M71" s="92">
        <v>0</v>
      </c>
      <c r="N71" s="86"/>
    </row>
    <row r="72" spans="1:14" s="22" customFormat="1" ht="18" customHeight="1" x14ac:dyDescent="0.25">
      <c r="A72" s="112" t="s">
        <v>193</v>
      </c>
      <c r="B72" s="113" t="s">
        <v>141</v>
      </c>
      <c r="C72" s="90">
        <f>C69</f>
        <v>291259.24400000001</v>
      </c>
      <c r="D72" s="91"/>
      <c r="E72" s="92">
        <f>E69</f>
        <v>84.162000000000006</v>
      </c>
      <c r="F72" s="86"/>
      <c r="G72" s="90">
        <f>G69</f>
        <v>298728.53700000001</v>
      </c>
      <c r="H72" s="91"/>
      <c r="I72" s="92">
        <f>I69</f>
        <v>80.319999999999993</v>
      </c>
      <c r="J72" s="86"/>
      <c r="K72" s="90">
        <f t="shared" si="6"/>
        <v>589987.78099999996</v>
      </c>
      <c r="L72" s="91"/>
      <c r="M72" s="92">
        <f>M69</f>
        <v>82.241</v>
      </c>
      <c r="N72" s="86"/>
    </row>
    <row r="73" spans="1:14" s="93" customFormat="1" ht="18" customHeight="1" x14ac:dyDescent="0.25">
      <c r="A73" s="94"/>
      <c r="B73" s="95" t="s">
        <v>142</v>
      </c>
      <c r="C73" s="96"/>
      <c r="D73" s="97"/>
      <c r="E73" s="99"/>
      <c r="F73" s="98"/>
      <c r="G73" s="96"/>
      <c r="H73" s="97"/>
      <c r="I73" s="99"/>
      <c r="J73" s="98"/>
      <c r="K73" s="96"/>
      <c r="L73" s="97"/>
      <c r="M73" s="99"/>
      <c r="N73" s="98"/>
    </row>
    <row r="74" spans="1:14" s="49" customFormat="1" ht="18" customHeight="1" x14ac:dyDescent="0.25">
      <c r="A74" s="88" t="s">
        <v>194</v>
      </c>
      <c r="B74" s="89" t="str">
        <f>B12</f>
        <v>ПАО "ФСК ЕЭС"</v>
      </c>
      <c r="C74" s="90">
        <f>C12</f>
        <v>12142.998000000061</v>
      </c>
      <c r="D74" s="91"/>
      <c r="E74" s="92">
        <f>E12</f>
        <v>4.34</v>
      </c>
      <c r="F74" s="86"/>
      <c r="G74" s="90">
        <f>G12</f>
        <v>12600.75600000007</v>
      </c>
      <c r="H74" s="91"/>
      <c r="I74" s="92">
        <f>I12</f>
        <v>4.34</v>
      </c>
      <c r="J74" s="86"/>
      <c r="K74" s="90">
        <f t="shared" ref="K74:K78" si="7">C74+G74</f>
        <v>24743.754000000132</v>
      </c>
      <c r="L74" s="91"/>
      <c r="M74" s="92">
        <f>M12</f>
        <v>4.34</v>
      </c>
      <c r="N74" s="86"/>
    </row>
    <row r="75" spans="1:14" s="49" customFormat="1" ht="18" customHeight="1" x14ac:dyDescent="0.25">
      <c r="A75" s="88" t="s">
        <v>195</v>
      </c>
      <c r="B75" s="89" t="str">
        <f>B13</f>
        <v>ПАО "МРСК Сибири"-"Кузбассэнерго-РЭС"</v>
      </c>
      <c r="C75" s="90">
        <f>C69-C74-C76</f>
        <v>240781.64599999992</v>
      </c>
      <c r="D75" s="91"/>
      <c r="E75" s="92">
        <f>E69-E74-E76</f>
        <v>69.323999999999998</v>
      </c>
      <c r="F75" s="86"/>
      <c r="G75" s="90">
        <f>G69-G74-G76</f>
        <v>245764.18299999996</v>
      </c>
      <c r="H75" s="91"/>
      <c r="I75" s="92">
        <f>I69-I74-I76</f>
        <v>65.127999999999986</v>
      </c>
      <c r="J75" s="86"/>
      <c r="K75" s="90">
        <f t="shared" si="7"/>
        <v>486545.82899999991</v>
      </c>
      <c r="L75" s="91"/>
      <c r="M75" s="92">
        <f>M69-M74-M76</f>
        <v>67.225999999999999</v>
      </c>
      <c r="N75" s="86"/>
    </row>
    <row r="76" spans="1:14" s="49" customFormat="1" ht="18" customHeight="1" x14ac:dyDescent="0.25">
      <c r="A76" s="88" t="s">
        <v>196</v>
      </c>
      <c r="B76" s="89" t="str">
        <f>B14</f>
        <v>АО "Электросеть"</v>
      </c>
      <c r="C76" s="90">
        <f>C14</f>
        <v>38334.6</v>
      </c>
      <c r="D76" s="91"/>
      <c r="E76" s="92">
        <f>E14</f>
        <v>10.497999999999999</v>
      </c>
      <c r="F76" s="86"/>
      <c r="G76" s="90">
        <f>G14</f>
        <v>40363.597999999998</v>
      </c>
      <c r="H76" s="91"/>
      <c r="I76" s="92">
        <f>I14</f>
        <v>10.852</v>
      </c>
      <c r="J76" s="86"/>
      <c r="K76" s="90">
        <f t="shared" si="7"/>
        <v>78698.198000000004</v>
      </c>
      <c r="L76" s="91"/>
      <c r="M76" s="92">
        <f>M14</f>
        <v>10.675000000000001</v>
      </c>
      <c r="N76" s="86"/>
    </row>
    <row r="77" spans="1:14" s="49" customFormat="1" ht="18" customHeight="1" x14ac:dyDescent="0.25">
      <c r="A77" s="112" t="s">
        <v>197</v>
      </c>
      <c r="B77" s="113" t="s">
        <v>169</v>
      </c>
      <c r="C77" s="90">
        <f>П1.4!E17</f>
        <v>6227.0990000000002</v>
      </c>
      <c r="D77" s="91"/>
      <c r="E77" s="92">
        <f>П1.5!E17</f>
        <v>1.8</v>
      </c>
      <c r="F77" s="86"/>
      <c r="G77" s="90">
        <f>П1.4!J17</f>
        <v>6464.4470000000001</v>
      </c>
      <c r="H77" s="91"/>
      <c r="I77" s="92">
        <f>П1.5!J17</f>
        <v>1.7569999999999999</v>
      </c>
      <c r="J77" s="86"/>
      <c r="K77" s="90">
        <f t="shared" si="7"/>
        <v>12691.546</v>
      </c>
      <c r="L77" s="91"/>
      <c r="M77" s="92">
        <f>П1.5!O17</f>
        <v>1.7785</v>
      </c>
      <c r="N77" s="86"/>
    </row>
    <row r="78" spans="1:14" s="49" customFormat="1" ht="18" customHeight="1" x14ac:dyDescent="0.25">
      <c r="A78" s="112" t="s">
        <v>58</v>
      </c>
      <c r="B78" s="113" t="s">
        <v>171</v>
      </c>
      <c r="C78" s="90">
        <f>П1.4!E24+П1.4!E23</f>
        <v>127579.838</v>
      </c>
      <c r="D78" s="91"/>
      <c r="E78" s="92">
        <f>П1.5!E23+П1.5!E24</f>
        <v>36.305999999999997</v>
      </c>
      <c r="F78" s="86"/>
      <c r="G78" s="90">
        <f>П1.4!J23+П1.4!J24</f>
        <v>127406.724</v>
      </c>
      <c r="H78" s="91"/>
      <c r="I78" s="92">
        <f>П1.5!J23+П1.5!J24</f>
        <v>35.518000000000001</v>
      </c>
      <c r="J78" s="86"/>
      <c r="K78" s="90">
        <f t="shared" si="7"/>
        <v>254986.56200000001</v>
      </c>
      <c r="L78" s="91"/>
      <c r="M78" s="92">
        <f>П1.5!O23+П1.5!O24</f>
        <v>35.911999999999999</v>
      </c>
      <c r="N78" s="86"/>
    </row>
    <row r="79" spans="1:14" s="93" customFormat="1" ht="18" customHeight="1" x14ac:dyDescent="0.25">
      <c r="A79" s="94"/>
      <c r="B79" s="95" t="s">
        <v>149</v>
      </c>
      <c r="C79" s="96"/>
      <c r="D79" s="97"/>
      <c r="E79" s="99"/>
      <c r="F79" s="98"/>
      <c r="G79" s="96"/>
      <c r="H79" s="97"/>
      <c r="I79" s="99"/>
      <c r="J79" s="98"/>
      <c r="K79" s="96"/>
      <c r="L79" s="97"/>
      <c r="M79" s="99"/>
      <c r="N79" s="98"/>
    </row>
    <row r="80" spans="1:14" s="49" customFormat="1" ht="18" customHeight="1" x14ac:dyDescent="0.25">
      <c r="A80" s="112" t="s">
        <v>198</v>
      </c>
      <c r="B80" s="113" t="s">
        <v>151</v>
      </c>
      <c r="C80" s="90">
        <f>П1.4!E27</f>
        <v>127376.995</v>
      </c>
      <c r="D80" s="91"/>
      <c r="E80" s="92">
        <f>П1.5!E27</f>
        <v>36.238</v>
      </c>
      <c r="F80" s="86"/>
      <c r="G80" s="90">
        <f>П1.4!J27</f>
        <v>127349.264</v>
      </c>
      <c r="H80" s="91"/>
      <c r="I80" s="92">
        <f>П1.5!J27</f>
        <v>35.478000000000002</v>
      </c>
      <c r="J80" s="86"/>
      <c r="K80" s="90">
        <f t="shared" ref="K80:K81" si="8">C80+G80</f>
        <v>254726.25899999999</v>
      </c>
      <c r="L80" s="91"/>
      <c r="M80" s="92">
        <f>П1.5!O27</f>
        <v>35.856999999999999</v>
      </c>
      <c r="N80" s="86"/>
    </row>
    <row r="81" spans="1:14" s="49" customFormat="1" ht="18" customHeight="1" x14ac:dyDescent="0.25">
      <c r="A81" s="112" t="s">
        <v>199</v>
      </c>
      <c r="B81" s="113" t="s">
        <v>153</v>
      </c>
      <c r="C81" s="90">
        <f>П1.4!E23+П1.4!E29</f>
        <v>202.84299999999999</v>
      </c>
      <c r="D81" s="91"/>
      <c r="E81" s="92">
        <f>П1.5!E23+П1.5!E30</f>
        <v>6.8000000000000005E-2</v>
      </c>
      <c r="F81" s="86"/>
      <c r="G81" s="90">
        <f>П1.4!J23+П1.4!J29</f>
        <v>57.46</v>
      </c>
      <c r="H81" s="91"/>
      <c r="I81" s="92">
        <f>П1.5!J23+П1.5!J30</f>
        <v>0.04</v>
      </c>
      <c r="J81" s="86"/>
      <c r="K81" s="90">
        <f t="shared" si="8"/>
        <v>260.303</v>
      </c>
      <c r="L81" s="91"/>
      <c r="M81" s="92">
        <f>+П1.5!O30+П1.5!O23</f>
        <v>5.4999999999999993E-2</v>
      </c>
      <c r="N81" s="86"/>
    </row>
    <row r="82" spans="1:14" s="93" customFormat="1" ht="18" customHeight="1" x14ac:dyDescent="0.25">
      <c r="A82" s="94"/>
      <c r="B82" s="95" t="s">
        <v>154</v>
      </c>
      <c r="C82" s="96"/>
      <c r="D82" s="97"/>
      <c r="E82" s="99"/>
      <c r="F82" s="98"/>
      <c r="G82" s="96"/>
      <c r="H82" s="97"/>
      <c r="I82" s="99"/>
      <c r="J82" s="98"/>
      <c r="K82" s="96"/>
      <c r="L82" s="97"/>
      <c r="M82" s="99"/>
      <c r="N82" s="98"/>
    </row>
    <row r="83" spans="1:14" s="49" customFormat="1" ht="18" customHeight="1" x14ac:dyDescent="0.25">
      <c r="A83" s="88" t="s">
        <v>200</v>
      </c>
      <c r="B83" s="89" t="str">
        <f>B74</f>
        <v>ПАО "ФСК ЕЭС"</v>
      </c>
      <c r="C83" s="90">
        <v>0</v>
      </c>
      <c r="D83" s="91"/>
      <c r="E83" s="92">
        <v>0</v>
      </c>
      <c r="F83" s="86"/>
      <c r="G83" s="90">
        <v>0</v>
      </c>
      <c r="H83" s="91"/>
      <c r="I83" s="92">
        <v>0</v>
      </c>
      <c r="J83" s="86"/>
      <c r="K83" s="90">
        <f t="shared" ref="K83:K89" si="9">C83+G83</f>
        <v>0</v>
      </c>
      <c r="L83" s="91"/>
      <c r="M83" s="92">
        <v>0</v>
      </c>
      <c r="N83" s="86"/>
    </row>
    <row r="84" spans="1:14" s="49" customFormat="1" ht="18" customHeight="1" x14ac:dyDescent="0.25">
      <c r="A84" s="88" t="s">
        <v>201</v>
      </c>
      <c r="B84" s="89" t="s">
        <v>202</v>
      </c>
      <c r="C84" s="90">
        <f>C83-C74</f>
        <v>-12142.998000000061</v>
      </c>
      <c r="D84" s="91"/>
      <c r="E84" s="92">
        <f>E83-E74</f>
        <v>-4.34</v>
      </c>
      <c r="F84" s="105"/>
      <c r="G84" s="90">
        <f>G83-G74</f>
        <v>-12600.75600000007</v>
      </c>
      <c r="H84" s="91"/>
      <c r="I84" s="92">
        <f>I83-I74</f>
        <v>-4.34</v>
      </c>
      <c r="J84" s="105"/>
      <c r="K84" s="90">
        <f t="shared" si="9"/>
        <v>-24743.754000000132</v>
      </c>
      <c r="L84" s="91"/>
      <c r="M84" s="92">
        <f>M83-M74</f>
        <v>-4.34</v>
      </c>
      <c r="N84" s="105"/>
    </row>
    <row r="85" spans="1:14" s="49" customFormat="1" ht="18" customHeight="1" x14ac:dyDescent="0.25">
      <c r="A85" s="88" t="s">
        <v>203</v>
      </c>
      <c r="B85" s="89" t="str">
        <f>B75</f>
        <v>ПАО "МРСК Сибири"-"Кузбассэнерго-РЭС"</v>
      </c>
      <c r="C85" s="90">
        <f>П1.6!D34</f>
        <v>128.27699999999999</v>
      </c>
      <c r="D85" s="91"/>
      <c r="E85" s="92">
        <f>П1.6!I34</f>
        <v>3.7999999999999999E-2</v>
      </c>
      <c r="F85" s="105"/>
      <c r="G85" s="90">
        <f>П1.6!D73</f>
        <v>0</v>
      </c>
      <c r="H85" s="91"/>
      <c r="I85" s="92">
        <f>П1.6!I73</f>
        <v>0</v>
      </c>
      <c r="J85" s="105"/>
      <c r="K85" s="90">
        <f t="shared" si="9"/>
        <v>128.27699999999999</v>
      </c>
      <c r="L85" s="91"/>
      <c r="M85" s="92">
        <f>П1.6!I113</f>
        <v>0.02</v>
      </c>
      <c r="N85" s="105"/>
    </row>
    <row r="86" spans="1:14" s="49" customFormat="1" ht="18" customHeight="1" x14ac:dyDescent="0.25">
      <c r="A86" s="88" t="s">
        <v>204</v>
      </c>
      <c r="B86" s="89" t="s">
        <v>205</v>
      </c>
      <c r="C86" s="90">
        <f>C85-C75</f>
        <v>-240653.36899999992</v>
      </c>
      <c r="D86" s="91"/>
      <c r="E86" s="92">
        <f>E85-E75</f>
        <v>-69.286000000000001</v>
      </c>
      <c r="F86" s="105"/>
      <c r="G86" s="90">
        <f>G85-G75</f>
        <v>-245764.18299999996</v>
      </c>
      <c r="H86" s="91"/>
      <c r="I86" s="92">
        <f>I85-I75</f>
        <v>-65.127999999999986</v>
      </c>
      <c r="J86" s="105"/>
      <c r="K86" s="90">
        <f t="shared" si="9"/>
        <v>-486417.55199999991</v>
      </c>
      <c r="L86" s="91"/>
      <c r="M86" s="92">
        <f>M85-M75</f>
        <v>-67.206000000000003</v>
      </c>
      <c r="N86" s="105"/>
    </row>
    <row r="87" spans="1:14" s="49" customFormat="1" ht="18" customHeight="1" x14ac:dyDescent="0.25">
      <c r="A87" s="88" t="s">
        <v>206</v>
      </c>
      <c r="B87" s="103" t="str">
        <f>B76</f>
        <v>АО "Электросеть"</v>
      </c>
      <c r="C87" s="90">
        <v>0</v>
      </c>
      <c r="D87" s="91"/>
      <c r="E87" s="92">
        <v>0</v>
      </c>
      <c r="F87" s="105"/>
      <c r="G87" s="90">
        <v>0</v>
      </c>
      <c r="H87" s="91"/>
      <c r="I87" s="92">
        <v>0</v>
      </c>
      <c r="J87" s="105"/>
      <c r="K87" s="90">
        <f t="shared" si="9"/>
        <v>0</v>
      </c>
      <c r="L87" s="91"/>
      <c r="M87" s="92">
        <v>0</v>
      </c>
      <c r="N87" s="105"/>
    </row>
    <row r="88" spans="1:14" s="49" customFormat="1" ht="18" customHeight="1" x14ac:dyDescent="0.25">
      <c r="A88" s="88" t="s">
        <v>207</v>
      </c>
      <c r="B88" s="103" t="s">
        <v>208</v>
      </c>
      <c r="C88" s="90">
        <f>C87-C76</f>
        <v>-38334.6</v>
      </c>
      <c r="D88" s="91"/>
      <c r="E88" s="92">
        <f>E87-E76</f>
        <v>-10.497999999999999</v>
      </c>
      <c r="F88" s="105"/>
      <c r="G88" s="90">
        <f>G87-G76</f>
        <v>-40363.597999999998</v>
      </c>
      <c r="H88" s="91"/>
      <c r="I88" s="92">
        <f>I87-I76</f>
        <v>-10.852</v>
      </c>
      <c r="J88" s="105"/>
      <c r="K88" s="90">
        <f t="shared" si="9"/>
        <v>-78698.198000000004</v>
      </c>
      <c r="L88" s="91"/>
      <c r="M88" s="92">
        <f>M87-M76</f>
        <v>-10.675000000000001</v>
      </c>
      <c r="N88" s="105"/>
    </row>
    <row r="89" spans="1:14" s="49" customFormat="1" ht="18" customHeight="1" x14ac:dyDescent="0.25">
      <c r="A89" s="88" t="s">
        <v>303</v>
      </c>
      <c r="B89" s="103" t="s">
        <v>278</v>
      </c>
      <c r="C89" s="90">
        <f>П1.4!E23</f>
        <v>74.566000000000003</v>
      </c>
      <c r="D89" s="91"/>
      <c r="E89" s="92">
        <f>П1.5!E23</f>
        <v>0.03</v>
      </c>
      <c r="F89" s="105"/>
      <c r="G89" s="90">
        <f>П1.4!J23</f>
        <v>57.46</v>
      </c>
      <c r="H89" s="91"/>
      <c r="I89" s="92">
        <f>П1.5!J23</f>
        <v>0.04</v>
      </c>
      <c r="J89" s="105"/>
      <c r="K89" s="90">
        <f t="shared" si="9"/>
        <v>132.02600000000001</v>
      </c>
      <c r="L89" s="91"/>
      <c r="M89" s="92">
        <f>П1.5!O23</f>
        <v>3.4999999999999996E-2</v>
      </c>
      <c r="N89" s="105"/>
    </row>
    <row r="90" spans="1:14" s="49" customFormat="1" ht="18" customHeight="1" x14ac:dyDescent="0.25">
      <c r="A90" s="112" t="s">
        <v>209</v>
      </c>
      <c r="B90" s="113" t="s">
        <v>210</v>
      </c>
      <c r="C90" s="90"/>
      <c r="D90" s="91"/>
      <c r="E90" s="92"/>
      <c r="F90" s="86"/>
      <c r="G90" s="90"/>
      <c r="H90" s="91"/>
      <c r="I90" s="92"/>
      <c r="J90" s="86"/>
      <c r="K90" s="90"/>
      <c r="L90" s="91"/>
      <c r="M90" s="92"/>
      <c r="N90" s="86"/>
    </row>
    <row r="91" spans="1:14" s="49" customFormat="1" ht="18" customHeight="1" x14ac:dyDescent="0.25">
      <c r="A91" s="112" t="s">
        <v>211</v>
      </c>
      <c r="B91" s="271" t="s">
        <v>184</v>
      </c>
      <c r="C91" s="90">
        <f>C69-C77-C80-C81</f>
        <v>157452.30700000003</v>
      </c>
      <c r="D91" s="91"/>
      <c r="E91" s="92">
        <f>E69-E77-E80-E81</f>
        <v>46.056000000000012</v>
      </c>
      <c r="F91" s="86"/>
      <c r="G91" s="90">
        <f>G69-G77-G80-G81</f>
        <v>164857.36600000004</v>
      </c>
      <c r="H91" s="91"/>
      <c r="I91" s="92">
        <f>I69-I77-I80-I81</f>
        <v>43.044999999999987</v>
      </c>
      <c r="J91" s="86"/>
      <c r="K91" s="90">
        <f t="shared" ref="K91" si="10">C91+G91</f>
        <v>322309.67300000007</v>
      </c>
      <c r="L91" s="91"/>
      <c r="M91" s="92">
        <f>M69-M77-M80-M81-0.001</f>
        <v>44.549500000000009</v>
      </c>
      <c r="N91" s="86"/>
    </row>
    <row r="92" spans="1:14" s="49" customFormat="1" ht="18" customHeight="1" x14ac:dyDescent="0.25">
      <c r="A92" s="112" t="s">
        <v>212</v>
      </c>
      <c r="B92" s="271" t="s">
        <v>186</v>
      </c>
      <c r="C92" s="90"/>
      <c r="D92" s="91"/>
      <c r="E92" s="92"/>
      <c r="F92" s="86"/>
      <c r="G92" s="90"/>
      <c r="H92" s="91"/>
      <c r="I92" s="92"/>
      <c r="J92" s="86"/>
      <c r="K92" s="90"/>
      <c r="L92" s="91"/>
      <c r="M92" s="92"/>
      <c r="N92" s="86"/>
    </row>
    <row r="93" spans="1:14" s="49" customFormat="1" ht="18" customHeight="1" x14ac:dyDescent="0.25">
      <c r="A93" s="112" t="s">
        <v>213</v>
      </c>
      <c r="B93" s="271" t="s">
        <v>188</v>
      </c>
      <c r="C93" s="90"/>
      <c r="D93" s="91"/>
      <c r="E93" s="92"/>
      <c r="F93" s="86"/>
      <c r="G93" s="90"/>
      <c r="H93" s="91"/>
      <c r="I93" s="92"/>
      <c r="J93" s="86"/>
      <c r="K93" s="90"/>
      <c r="L93" s="91"/>
      <c r="M93" s="92"/>
      <c r="N93" s="86"/>
    </row>
    <row r="94" spans="1:14" s="49" customFormat="1" ht="18" customHeight="1" x14ac:dyDescent="0.25">
      <c r="A94" s="112" t="s">
        <v>214</v>
      </c>
      <c r="B94" s="113" t="s">
        <v>215</v>
      </c>
      <c r="C94" s="90">
        <f>П1.4!F7</f>
        <v>197296.47800000003</v>
      </c>
      <c r="D94" s="91"/>
      <c r="E94" s="92">
        <f>П1.5!F7</f>
        <v>56.762000000000015</v>
      </c>
      <c r="F94" s="86"/>
      <c r="G94" s="90">
        <f>П1.4!K7</f>
        <v>218239.74600000001</v>
      </c>
      <c r="H94" s="91"/>
      <c r="I94" s="92">
        <f>П1.5!K7</f>
        <v>58.91399999999998</v>
      </c>
      <c r="J94" s="86"/>
      <c r="K94" s="90">
        <f t="shared" ref="K94" si="11">C94+G94</f>
        <v>415536.22400000005</v>
      </c>
      <c r="L94" s="91"/>
      <c r="M94" s="92">
        <f>П1.5!P7</f>
        <v>57.838000000000008</v>
      </c>
      <c r="N94" s="86"/>
    </row>
    <row r="95" spans="1:14" s="93" customFormat="1" ht="18" customHeight="1" x14ac:dyDescent="0.25">
      <c r="A95" s="94"/>
      <c r="B95" s="95" t="s">
        <v>142</v>
      </c>
      <c r="C95" s="96"/>
      <c r="D95" s="97"/>
      <c r="E95" s="99"/>
      <c r="F95" s="98"/>
      <c r="G95" s="96"/>
      <c r="H95" s="97"/>
      <c r="I95" s="99"/>
      <c r="J95" s="98"/>
      <c r="K95" s="96"/>
      <c r="L95" s="97"/>
      <c r="M95" s="99"/>
      <c r="N95" s="98"/>
    </row>
    <row r="96" spans="1:14" s="49" customFormat="1" ht="18" customHeight="1" x14ac:dyDescent="0.25">
      <c r="A96" s="112" t="s">
        <v>216</v>
      </c>
      <c r="B96" s="113" t="s">
        <v>192</v>
      </c>
      <c r="C96" s="90">
        <v>0</v>
      </c>
      <c r="D96" s="91"/>
      <c r="E96" s="92">
        <v>0</v>
      </c>
      <c r="F96" s="86"/>
      <c r="G96" s="90">
        <v>0</v>
      </c>
      <c r="H96" s="91"/>
      <c r="I96" s="92">
        <v>0</v>
      </c>
      <c r="J96" s="86"/>
      <c r="K96" s="90">
        <f t="shared" ref="K96:K97" si="12">C96+G96</f>
        <v>0</v>
      </c>
      <c r="L96" s="91"/>
      <c r="M96" s="92">
        <v>0</v>
      </c>
      <c r="N96" s="86"/>
    </row>
    <row r="97" spans="1:14" s="49" customFormat="1" ht="18" customHeight="1" x14ac:dyDescent="0.25">
      <c r="A97" s="112" t="s">
        <v>217</v>
      </c>
      <c r="B97" s="113" t="s">
        <v>141</v>
      </c>
      <c r="C97" s="90">
        <f>C94</f>
        <v>197296.47800000003</v>
      </c>
      <c r="D97" s="91"/>
      <c r="E97" s="92">
        <f>E94</f>
        <v>56.762000000000015</v>
      </c>
      <c r="F97" s="86"/>
      <c r="G97" s="90">
        <f>G94</f>
        <v>218239.74600000001</v>
      </c>
      <c r="H97" s="91"/>
      <c r="I97" s="92">
        <f>I94</f>
        <v>58.91399999999998</v>
      </c>
      <c r="J97" s="86"/>
      <c r="K97" s="90">
        <f t="shared" si="12"/>
        <v>415536.22400000005</v>
      </c>
      <c r="L97" s="91"/>
      <c r="M97" s="92">
        <f>M94</f>
        <v>57.838000000000008</v>
      </c>
      <c r="N97" s="86"/>
    </row>
    <row r="98" spans="1:14" s="93" customFormat="1" ht="18" customHeight="1" x14ac:dyDescent="0.25">
      <c r="A98" s="94"/>
      <c r="B98" s="95" t="s">
        <v>142</v>
      </c>
      <c r="C98" s="96"/>
      <c r="D98" s="97"/>
      <c r="E98" s="99"/>
      <c r="F98" s="98"/>
      <c r="G98" s="96"/>
      <c r="H98" s="97"/>
      <c r="I98" s="99"/>
      <c r="J98" s="98"/>
      <c r="K98" s="96"/>
      <c r="L98" s="97"/>
      <c r="M98" s="99"/>
      <c r="N98" s="98"/>
    </row>
    <row r="99" spans="1:14" s="49" customFormat="1" ht="18" customHeight="1" x14ac:dyDescent="0.25">
      <c r="A99" s="88" t="s">
        <v>218</v>
      </c>
      <c r="B99" s="89" t="str">
        <f>B85</f>
        <v>ПАО "МРСК Сибири"-"Кузбассэнерго-РЭС"</v>
      </c>
      <c r="C99" s="90">
        <f>C97-C100-C101</f>
        <v>39420.206999999995</v>
      </c>
      <c r="D99" s="91"/>
      <c r="E99" s="92">
        <f>E97-E100-E101</f>
        <v>10.550000000000004</v>
      </c>
      <c r="F99" s="86"/>
      <c r="G99" s="90">
        <f>G97-G100-G101</f>
        <v>53041.046999999962</v>
      </c>
      <c r="H99" s="91"/>
      <c r="I99" s="92">
        <f>I97-I100-I101</f>
        <v>15.745999999999995</v>
      </c>
      <c r="J99" s="86"/>
      <c r="K99" s="90">
        <f t="shared" ref="K99:K103" si="13">C99+G99</f>
        <v>92461.253999999957</v>
      </c>
      <c r="L99" s="91"/>
      <c r="M99" s="300">
        <f>M97-M100-M101-0.001</f>
        <v>13.147499999999999</v>
      </c>
      <c r="N99" s="86"/>
    </row>
    <row r="100" spans="1:14" s="49" customFormat="1" ht="18" customHeight="1" x14ac:dyDescent="0.25">
      <c r="A100" s="88" t="s">
        <v>219</v>
      </c>
      <c r="B100" s="89" t="str">
        <f>B32</f>
        <v>ОАО "РЖД"</v>
      </c>
      <c r="C100" s="90">
        <f>C16</f>
        <v>423.964</v>
      </c>
      <c r="D100" s="91"/>
      <c r="E100" s="92">
        <f>E16</f>
        <v>0.156</v>
      </c>
      <c r="F100" s="86"/>
      <c r="G100" s="90">
        <f>G16</f>
        <v>341.33300000000003</v>
      </c>
      <c r="H100" s="91"/>
      <c r="I100" s="92">
        <f>I16</f>
        <v>0.123</v>
      </c>
      <c r="J100" s="86"/>
      <c r="K100" s="90">
        <f t="shared" si="13"/>
        <v>765.29700000000003</v>
      </c>
      <c r="L100" s="91"/>
      <c r="M100" s="92">
        <f>M16</f>
        <v>0.14000000000000001</v>
      </c>
      <c r="N100" s="86"/>
    </row>
    <row r="101" spans="1:14" s="49" customFormat="1" ht="18" customHeight="1" x14ac:dyDescent="0.25">
      <c r="A101" s="88" t="s">
        <v>220</v>
      </c>
      <c r="B101" s="89" t="str">
        <f>B89</f>
        <v>ОАО "КузбассЭлектро"</v>
      </c>
      <c r="C101" s="90">
        <f>C91</f>
        <v>157452.30700000003</v>
      </c>
      <c r="D101" s="91"/>
      <c r="E101" s="92">
        <f>E91</f>
        <v>46.056000000000012</v>
      </c>
      <c r="F101" s="86"/>
      <c r="G101" s="90">
        <f>G91</f>
        <v>164857.36600000004</v>
      </c>
      <c r="H101" s="91"/>
      <c r="I101" s="92">
        <f>I91</f>
        <v>43.044999999999987</v>
      </c>
      <c r="J101" s="86"/>
      <c r="K101" s="90">
        <f t="shared" si="13"/>
        <v>322309.67300000007</v>
      </c>
      <c r="L101" s="91"/>
      <c r="M101" s="92">
        <f>M91</f>
        <v>44.549500000000009</v>
      </c>
      <c r="N101" s="86"/>
    </row>
    <row r="102" spans="1:14" s="49" customFormat="1" ht="18" customHeight="1" x14ac:dyDescent="0.25">
      <c r="A102" s="112" t="s">
        <v>221</v>
      </c>
      <c r="B102" s="113" t="s">
        <v>169</v>
      </c>
      <c r="C102" s="90">
        <f>П1.4!F17</f>
        <v>916.17600000000004</v>
      </c>
      <c r="D102" s="91"/>
      <c r="E102" s="92">
        <f>П1.5!F17</f>
        <v>0.26400000000000001</v>
      </c>
      <c r="F102" s="86"/>
      <c r="G102" s="90">
        <f>П1.4!K17</f>
        <v>767.35500000000002</v>
      </c>
      <c r="H102" s="91"/>
      <c r="I102" s="92">
        <f>П1.5!K17</f>
        <v>0.20699999999999999</v>
      </c>
      <c r="J102" s="86"/>
      <c r="K102" s="90">
        <f t="shared" si="13"/>
        <v>1683.5309999999999</v>
      </c>
      <c r="L102" s="91"/>
      <c r="M102" s="92">
        <f>П1.5!P17</f>
        <v>0.23450000000000001</v>
      </c>
      <c r="N102" s="86"/>
    </row>
    <row r="103" spans="1:14" s="49" customFormat="1" ht="18" customHeight="1" x14ac:dyDescent="0.25">
      <c r="A103" s="112" t="s">
        <v>222</v>
      </c>
      <c r="B103" s="113" t="s">
        <v>171</v>
      </c>
      <c r="C103" s="90">
        <f>П1.4!F24</f>
        <v>187057.231</v>
      </c>
      <c r="D103" s="91"/>
      <c r="E103" s="92">
        <f>П1.5!F24</f>
        <v>53.971999999999994</v>
      </c>
      <c r="F103" s="86"/>
      <c r="G103" s="90">
        <f>П1.4!K24</f>
        <v>206372.68899999998</v>
      </c>
      <c r="H103" s="91"/>
      <c r="I103" s="92">
        <f>П1.5!K24</f>
        <v>55.767000000000003</v>
      </c>
      <c r="J103" s="86"/>
      <c r="K103" s="90">
        <f t="shared" si="13"/>
        <v>393429.92</v>
      </c>
      <c r="L103" s="91"/>
      <c r="M103" s="92">
        <f>П1.5!P24</f>
        <v>54.869500000000002</v>
      </c>
      <c r="N103" s="86"/>
    </row>
    <row r="104" spans="1:14" s="93" customFormat="1" ht="18" customHeight="1" x14ac:dyDescent="0.25">
      <c r="A104" s="94"/>
      <c r="B104" s="95" t="s">
        <v>149</v>
      </c>
      <c r="C104" s="96"/>
      <c r="D104" s="97"/>
      <c r="E104" s="99"/>
      <c r="F104" s="98"/>
      <c r="G104" s="96"/>
      <c r="H104" s="97"/>
      <c r="I104" s="99"/>
      <c r="J104" s="98"/>
      <c r="K104" s="96"/>
      <c r="L104" s="97"/>
      <c r="M104" s="99"/>
      <c r="N104" s="98"/>
    </row>
    <row r="105" spans="1:14" s="49" customFormat="1" ht="18" customHeight="1" x14ac:dyDescent="0.25">
      <c r="A105" s="112" t="s">
        <v>223</v>
      </c>
      <c r="B105" s="113" t="s">
        <v>151</v>
      </c>
      <c r="C105" s="90">
        <f>П1.4!F27</f>
        <v>151421.59599999999</v>
      </c>
      <c r="D105" s="91"/>
      <c r="E105" s="92">
        <f>П1.5!F27</f>
        <v>41.104999999999997</v>
      </c>
      <c r="F105" s="86"/>
      <c r="G105" s="90">
        <f>П1.4!K27</f>
        <v>173179.79399999999</v>
      </c>
      <c r="H105" s="91"/>
      <c r="I105" s="92">
        <f>П1.5!K27</f>
        <v>43.963000000000001</v>
      </c>
      <c r="J105" s="86"/>
      <c r="K105" s="90">
        <f t="shared" ref="K105:K114" si="14">C105+G105</f>
        <v>324601.39</v>
      </c>
      <c r="L105" s="91"/>
      <c r="M105" s="92">
        <f>П1.5!P27</f>
        <v>42.533999999999999</v>
      </c>
      <c r="N105" s="86"/>
    </row>
    <row r="106" spans="1:14" s="49" customFormat="1" ht="18" customHeight="1" x14ac:dyDescent="0.25">
      <c r="A106" s="112" t="s">
        <v>224</v>
      </c>
      <c r="B106" s="113" t="s">
        <v>153</v>
      </c>
      <c r="C106" s="90">
        <f>П1.4!F29</f>
        <v>35635.635000000002</v>
      </c>
      <c r="D106" s="91"/>
      <c r="E106" s="92">
        <f>П1.5!F30</f>
        <v>12.867000000000001</v>
      </c>
      <c r="F106" s="86"/>
      <c r="G106" s="90">
        <f>П1.4!K29</f>
        <v>33192.894999999997</v>
      </c>
      <c r="H106" s="91"/>
      <c r="I106" s="92">
        <f>П1.5!K30</f>
        <v>11.804</v>
      </c>
      <c r="J106" s="86"/>
      <c r="K106" s="90">
        <f t="shared" si="14"/>
        <v>68828.53</v>
      </c>
      <c r="L106" s="91"/>
      <c r="M106" s="92">
        <f>П1.5!P30</f>
        <v>12.335500000000001</v>
      </c>
      <c r="N106" s="86"/>
    </row>
    <row r="107" spans="1:14" s="93" customFormat="1" ht="18" customHeight="1" x14ac:dyDescent="0.25">
      <c r="A107" s="94"/>
      <c r="B107" s="95" t="s">
        <v>154</v>
      </c>
      <c r="C107" s="96"/>
      <c r="D107" s="97"/>
      <c r="E107" s="99"/>
      <c r="F107" s="98"/>
      <c r="G107" s="96"/>
      <c r="H107" s="97"/>
      <c r="I107" s="99"/>
      <c r="J107" s="98"/>
      <c r="K107" s="96"/>
      <c r="L107" s="97"/>
      <c r="M107" s="99"/>
      <c r="N107" s="98"/>
    </row>
    <row r="108" spans="1:14" s="49" customFormat="1" ht="18" customHeight="1" x14ac:dyDescent="0.25">
      <c r="A108" s="88" t="s">
        <v>200</v>
      </c>
      <c r="B108" s="89" t="str">
        <f>B99</f>
        <v>ПАО "МРСК Сибири"-"Кузбассэнерго-РЭС"</v>
      </c>
      <c r="C108" s="90">
        <f>П1.6!E34</f>
        <v>0</v>
      </c>
      <c r="D108" s="91"/>
      <c r="E108" s="92">
        <f>П1.6!J34</f>
        <v>0</v>
      </c>
      <c r="F108" s="86"/>
      <c r="G108" s="90">
        <f>П1.6!E73</f>
        <v>0</v>
      </c>
      <c r="H108" s="91"/>
      <c r="I108" s="92">
        <f>П1.6!J73</f>
        <v>0</v>
      </c>
      <c r="J108" s="86"/>
      <c r="K108" s="90">
        <f t="shared" si="14"/>
        <v>0</v>
      </c>
      <c r="L108" s="91"/>
      <c r="M108" s="92">
        <f>П1.6!J113</f>
        <v>0</v>
      </c>
      <c r="N108" s="86"/>
    </row>
    <row r="109" spans="1:14" s="49" customFormat="1" ht="18" customHeight="1" x14ac:dyDescent="0.25">
      <c r="A109" s="88" t="s">
        <v>201</v>
      </c>
      <c r="B109" s="89" t="s">
        <v>202</v>
      </c>
      <c r="C109" s="90">
        <f>C108-C99</f>
        <v>-39420.206999999995</v>
      </c>
      <c r="D109" s="91"/>
      <c r="E109" s="92">
        <f>E108-E99</f>
        <v>-10.550000000000004</v>
      </c>
      <c r="F109" s="105"/>
      <c r="G109" s="90">
        <f>G108-G99</f>
        <v>-53041.046999999962</v>
      </c>
      <c r="H109" s="91"/>
      <c r="I109" s="92">
        <f>I108-I99</f>
        <v>-15.745999999999995</v>
      </c>
      <c r="J109" s="105"/>
      <c r="K109" s="90">
        <f t="shared" si="14"/>
        <v>-92461.253999999957</v>
      </c>
      <c r="L109" s="91"/>
      <c r="M109" s="92">
        <f>M108-M99</f>
        <v>-13.147499999999999</v>
      </c>
      <c r="N109" s="105"/>
    </row>
    <row r="110" spans="1:14" s="49" customFormat="1" ht="18" customHeight="1" x14ac:dyDescent="0.25">
      <c r="A110" s="88" t="s">
        <v>203</v>
      </c>
      <c r="B110" s="89" t="str">
        <f>B100</f>
        <v>ОАО "РЖД"</v>
      </c>
      <c r="C110" s="90">
        <v>0</v>
      </c>
      <c r="D110" s="91"/>
      <c r="E110" s="92">
        <v>0</v>
      </c>
      <c r="F110" s="105"/>
      <c r="G110" s="90">
        <v>0</v>
      </c>
      <c r="H110" s="91"/>
      <c r="I110" s="92">
        <v>0</v>
      </c>
      <c r="J110" s="105"/>
      <c r="K110" s="90">
        <f t="shared" si="14"/>
        <v>0</v>
      </c>
      <c r="L110" s="91"/>
      <c r="M110" s="92">
        <v>0</v>
      </c>
      <c r="N110" s="105"/>
    </row>
    <row r="111" spans="1:14" s="49" customFormat="1" ht="18" customHeight="1" x14ac:dyDescent="0.25">
      <c r="A111" s="88" t="s">
        <v>204</v>
      </c>
      <c r="B111" s="89" t="s">
        <v>205</v>
      </c>
      <c r="C111" s="90">
        <f>C110-C100</f>
        <v>-423.964</v>
      </c>
      <c r="D111" s="91"/>
      <c r="E111" s="92">
        <f>E110-E100</f>
        <v>-0.156</v>
      </c>
      <c r="F111" s="105"/>
      <c r="G111" s="90">
        <f>G110-G100</f>
        <v>-341.33300000000003</v>
      </c>
      <c r="H111" s="91"/>
      <c r="I111" s="92">
        <f>I110-I100</f>
        <v>-0.123</v>
      </c>
      <c r="J111" s="105"/>
      <c r="K111" s="90">
        <f t="shared" si="14"/>
        <v>-765.29700000000003</v>
      </c>
      <c r="L111" s="91"/>
      <c r="M111" s="92">
        <f>M110-M100</f>
        <v>-0.14000000000000001</v>
      </c>
      <c r="N111" s="105"/>
    </row>
    <row r="112" spans="1:14" s="49" customFormat="1" ht="18" customHeight="1" x14ac:dyDescent="0.25">
      <c r="A112" s="88" t="s">
        <v>206</v>
      </c>
      <c r="B112" s="89" t="str">
        <f t="shared" ref="B112:C114" si="15">B34</f>
        <v>ООО "КЭнК"</v>
      </c>
      <c r="C112" s="90">
        <f t="shared" si="15"/>
        <v>31089.728999999999</v>
      </c>
      <c r="D112" s="91"/>
      <c r="E112" s="92">
        <f>E34</f>
        <v>11.667</v>
      </c>
      <c r="F112" s="105"/>
      <c r="G112" s="90">
        <f>П1.6!C74</f>
        <v>29502.755000000001</v>
      </c>
      <c r="H112" s="91"/>
      <c r="I112" s="92">
        <f>I34</f>
        <v>10.603999999999999</v>
      </c>
      <c r="J112" s="105"/>
      <c r="K112" s="90">
        <f t="shared" si="14"/>
        <v>60592.483999999997</v>
      </c>
      <c r="L112" s="91"/>
      <c r="M112" s="92">
        <f>M34</f>
        <v>11.135999999999999</v>
      </c>
      <c r="N112" s="105"/>
    </row>
    <row r="113" spans="1:14" s="49" customFormat="1" ht="18" customHeight="1" x14ac:dyDescent="0.25">
      <c r="A113" s="88" t="s">
        <v>303</v>
      </c>
      <c r="B113" s="89" t="str">
        <f t="shared" si="15"/>
        <v>ООО "СКЭК"</v>
      </c>
      <c r="C113" s="90">
        <f t="shared" si="15"/>
        <v>4545.9059999999999</v>
      </c>
      <c r="D113" s="91"/>
      <c r="E113" s="92">
        <f>E35</f>
        <v>1.2</v>
      </c>
      <c r="F113" s="105"/>
      <c r="G113" s="90">
        <f>П1.6!C75</f>
        <v>3690.14</v>
      </c>
      <c r="H113" s="91"/>
      <c r="I113" s="92">
        <f>I35</f>
        <v>1.2</v>
      </c>
      <c r="J113" s="105"/>
      <c r="K113" s="90">
        <f t="shared" si="14"/>
        <v>8236.0460000000003</v>
      </c>
      <c r="L113" s="91"/>
      <c r="M113" s="92">
        <f>M35</f>
        <v>1.2</v>
      </c>
      <c r="N113" s="105"/>
    </row>
    <row r="114" spans="1:14" s="49" customFormat="1" ht="18" hidden="1" customHeight="1" x14ac:dyDescent="0.25">
      <c r="A114" s="88" t="s">
        <v>304</v>
      </c>
      <c r="B114" s="89">
        <f t="shared" si="15"/>
        <v>0</v>
      </c>
      <c r="C114" s="90">
        <f t="shared" si="15"/>
        <v>0</v>
      </c>
      <c r="D114" s="91"/>
      <c r="E114" s="92">
        <f>E36</f>
        <v>0</v>
      </c>
      <c r="F114" s="105"/>
      <c r="G114" s="90">
        <f>П1.6!C76</f>
        <v>0</v>
      </c>
      <c r="H114" s="91"/>
      <c r="I114" s="92">
        <f>I36</f>
        <v>0</v>
      </c>
      <c r="J114" s="105"/>
      <c r="K114" s="90">
        <f t="shared" si="14"/>
        <v>0</v>
      </c>
      <c r="L114" s="91"/>
      <c r="M114" s="92">
        <f>M36</f>
        <v>0</v>
      </c>
      <c r="N114" s="105"/>
    </row>
    <row r="115" spans="1:14" s="49" customFormat="1" ht="18" hidden="1" customHeight="1" x14ac:dyDescent="0.25">
      <c r="A115" s="88" t="s">
        <v>305</v>
      </c>
      <c r="B115" s="103" t="str">
        <f>B101</f>
        <v>ОАО "КузбассЭлектро"</v>
      </c>
      <c r="C115" s="90"/>
      <c r="D115" s="91"/>
      <c r="E115" s="92"/>
      <c r="F115" s="105"/>
      <c r="G115" s="90"/>
      <c r="H115" s="91"/>
      <c r="I115" s="92"/>
      <c r="J115" s="105"/>
      <c r="K115" s="90"/>
      <c r="L115" s="91"/>
      <c r="M115" s="92"/>
      <c r="N115" s="105"/>
    </row>
    <row r="116" spans="1:14" s="49" customFormat="1" ht="18" hidden="1" customHeight="1" x14ac:dyDescent="0.25">
      <c r="A116" s="88" t="s">
        <v>207</v>
      </c>
      <c r="B116" s="103" t="s">
        <v>208</v>
      </c>
      <c r="C116" s="90"/>
      <c r="D116" s="91"/>
      <c r="E116" s="92"/>
      <c r="F116" s="105"/>
      <c r="G116" s="90"/>
      <c r="H116" s="91"/>
      <c r="I116" s="92"/>
      <c r="J116" s="105"/>
      <c r="K116" s="90"/>
      <c r="L116" s="91"/>
      <c r="M116" s="92"/>
      <c r="N116" s="105"/>
    </row>
    <row r="117" spans="1:14" s="49" customFormat="1" ht="18" customHeight="1" x14ac:dyDescent="0.25">
      <c r="A117" s="112" t="s">
        <v>225</v>
      </c>
      <c r="B117" s="113" t="s">
        <v>226</v>
      </c>
      <c r="C117" s="90"/>
      <c r="D117" s="91"/>
      <c r="E117" s="92"/>
      <c r="F117" s="86"/>
      <c r="G117" s="90"/>
      <c r="H117" s="91"/>
      <c r="I117" s="92"/>
      <c r="J117" s="86"/>
      <c r="K117" s="90"/>
      <c r="L117" s="91"/>
      <c r="M117" s="92"/>
      <c r="N117" s="86"/>
    </row>
    <row r="118" spans="1:14" s="49" customFormat="1" ht="18" customHeight="1" x14ac:dyDescent="0.25">
      <c r="A118" s="112" t="s">
        <v>227</v>
      </c>
      <c r="B118" s="271" t="s">
        <v>186</v>
      </c>
      <c r="C118" s="90">
        <f>C94-C103-C102</f>
        <v>9323.0710000000327</v>
      </c>
      <c r="D118" s="91"/>
      <c r="E118" s="92">
        <f>E94-E103-E102</f>
        <v>2.5260000000000202</v>
      </c>
      <c r="F118" s="86"/>
      <c r="G118" s="90">
        <f>G94-G103-G102</f>
        <v>11099.70200000003</v>
      </c>
      <c r="H118" s="91"/>
      <c r="I118" s="92">
        <f>I94-I103-I102</f>
        <v>2.9399999999999773</v>
      </c>
      <c r="J118" s="86"/>
      <c r="K118" s="90">
        <f t="shared" ref="K118" si="16">C118+G118</f>
        <v>20422.773000000063</v>
      </c>
      <c r="L118" s="91"/>
      <c r="M118" s="92">
        <f>M94-M103-M102-0.001</f>
        <v>2.7330000000000059</v>
      </c>
      <c r="N118" s="86"/>
    </row>
    <row r="119" spans="1:14" s="49" customFormat="1" ht="18" customHeight="1" x14ac:dyDescent="0.25">
      <c r="A119" s="112" t="s">
        <v>228</v>
      </c>
      <c r="B119" s="271" t="s">
        <v>188</v>
      </c>
      <c r="C119" s="90"/>
      <c r="D119" s="91"/>
      <c r="E119" s="92"/>
      <c r="F119" s="86"/>
      <c r="G119" s="90"/>
      <c r="H119" s="91"/>
      <c r="I119" s="92"/>
      <c r="J119" s="86"/>
      <c r="K119" s="90"/>
      <c r="L119" s="91"/>
      <c r="M119" s="92"/>
      <c r="N119" s="86"/>
    </row>
    <row r="120" spans="1:14" s="49" customFormat="1" ht="18" customHeight="1" x14ac:dyDescent="0.25">
      <c r="A120" s="112" t="s">
        <v>229</v>
      </c>
      <c r="B120" s="113" t="s">
        <v>230</v>
      </c>
      <c r="C120" s="90">
        <f>П1.4!G7</f>
        <v>10733.761000000033</v>
      </c>
      <c r="D120" s="91"/>
      <c r="E120" s="92">
        <f>П1.5!G7</f>
        <v>2.9020000000000139</v>
      </c>
      <c r="F120" s="86"/>
      <c r="G120" s="90">
        <f>П1.4!L7</f>
        <v>12423.107000000013</v>
      </c>
      <c r="H120" s="91"/>
      <c r="I120" s="92">
        <f>П1.5!L7</f>
        <v>3.2459999999999782</v>
      </c>
      <c r="J120" s="86"/>
      <c r="K120" s="90">
        <f t="shared" ref="K120" si="17">C120+G120</f>
        <v>23156.868000000046</v>
      </c>
      <c r="L120" s="91"/>
      <c r="M120" s="92">
        <f>П1.5!Q7</f>
        <v>3.0740000000000109</v>
      </c>
      <c r="N120" s="86"/>
    </row>
    <row r="121" spans="1:14" s="93" customFormat="1" ht="18" customHeight="1" x14ac:dyDescent="0.25">
      <c r="A121" s="94"/>
      <c r="B121" s="95" t="s">
        <v>142</v>
      </c>
      <c r="C121" s="96"/>
      <c r="D121" s="97"/>
      <c r="E121" s="99"/>
      <c r="F121" s="98"/>
      <c r="G121" s="96"/>
      <c r="H121" s="97"/>
      <c r="I121" s="99"/>
      <c r="J121" s="98"/>
      <c r="K121" s="96"/>
      <c r="L121" s="97"/>
      <c r="M121" s="99"/>
      <c r="N121" s="98"/>
    </row>
    <row r="122" spans="1:14" s="49" customFormat="1" ht="18" customHeight="1" x14ac:dyDescent="0.25">
      <c r="A122" s="112" t="s">
        <v>231</v>
      </c>
      <c r="B122" s="113" t="s">
        <v>192</v>
      </c>
      <c r="C122" s="90">
        <v>0</v>
      </c>
      <c r="D122" s="91"/>
      <c r="E122" s="92">
        <v>0</v>
      </c>
      <c r="F122" s="86"/>
      <c r="G122" s="90">
        <v>0</v>
      </c>
      <c r="H122" s="91"/>
      <c r="I122" s="92">
        <v>0</v>
      </c>
      <c r="J122" s="86"/>
      <c r="K122" s="90">
        <f t="shared" ref="K122:K123" si="18">C122+G122</f>
        <v>0</v>
      </c>
      <c r="L122" s="91"/>
      <c r="M122" s="92">
        <v>0</v>
      </c>
      <c r="N122" s="86"/>
    </row>
    <row r="123" spans="1:14" s="49" customFormat="1" ht="18" customHeight="1" x14ac:dyDescent="0.25">
      <c r="A123" s="112" t="s">
        <v>232</v>
      </c>
      <c r="B123" s="113" t="s">
        <v>141</v>
      </c>
      <c r="C123" s="90">
        <f>C120</f>
        <v>10733.761000000033</v>
      </c>
      <c r="D123" s="91"/>
      <c r="E123" s="92">
        <f>E120</f>
        <v>2.9020000000000139</v>
      </c>
      <c r="F123" s="86"/>
      <c r="G123" s="90">
        <f>G120</f>
        <v>12423.107000000013</v>
      </c>
      <c r="H123" s="91"/>
      <c r="I123" s="92">
        <f>I120</f>
        <v>3.2459999999999782</v>
      </c>
      <c r="J123" s="86"/>
      <c r="K123" s="90">
        <f t="shared" si="18"/>
        <v>23156.868000000046</v>
      </c>
      <c r="L123" s="91"/>
      <c r="M123" s="92">
        <f>M120</f>
        <v>3.0740000000000109</v>
      </c>
      <c r="N123" s="86"/>
    </row>
    <row r="124" spans="1:14" s="93" customFormat="1" ht="18" customHeight="1" x14ac:dyDescent="0.25">
      <c r="A124" s="94"/>
      <c r="B124" s="95" t="s">
        <v>142</v>
      </c>
      <c r="C124" s="96"/>
      <c r="D124" s="97"/>
      <c r="E124" s="99"/>
      <c r="F124" s="98"/>
      <c r="G124" s="96"/>
      <c r="H124" s="97"/>
      <c r="I124" s="99"/>
      <c r="J124" s="98"/>
      <c r="K124" s="96"/>
      <c r="L124" s="97"/>
      <c r="M124" s="99"/>
      <c r="N124" s="98"/>
    </row>
    <row r="125" spans="1:14" s="49" customFormat="1" ht="18" customHeight="1" x14ac:dyDescent="0.25">
      <c r="A125" s="88" t="s">
        <v>233</v>
      </c>
      <c r="B125" s="89" t="str">
        <f>B108</f>
        <v>ПАО "МРСК Сибири"-"Кузбассэнерго-РЭС"</v>
      </c>
      <c r="C125" s="90">
        <f>C123-C126-C127</f>
        <v>870.85000000000036</v>
      </c>
      <c r="D125" s="91"/>
      <c r="E125" s="92">
        <f>E123-E126-E127</f>
        <v>0.17599999999999349</v>
      </c>
      <c r="F125" s="86"/>
      <c r="G125" s="90">
        <f>G123-G126-G127</f>
        <v>809.14199999998164</v>
      </c>
      <c r="H125" s="91"/>
      <c r="I125" s="92">
        <f>I123-I126-I127</f>
        <v>0.10600000000000076</v>
      </c>
      <c r="J125" s="86"/>
      <c r="K125" s="90">
        <f t="shared" ref="K125:K140" si="19">C125+G125</f>
        <v>1679.991999999982</v>
      </c>
      <c r="L125" s="91"/>
      <c r="M125" s="92">
        <f>M123-M126-M127</f>
        <v>0.1410000000000049</v>
      </c>
      <c r="N125" s="86"/>
    </row>
    <row r="126" spans="1:14" s="49" customFormat="1" ht="18" customHeight="1" x14ac:dyDescent="0.25">
      <c r="A126" s="88" t="s">
        <v>234</v>
      </c>
      <c r="B126" s="89" t="str">
        <f>B30</f>
        <v>АО "СибПСК"</v>
      </c>
      <c r="C126" s="90">
        <f>C15</f>
        <v>539.84</v>
      </c>
      <c r="D126" s="91"/>
      <c r="E126" s="92">
        <f>E15</f>
        <v>0.2</v>
      </c>
      <c r="F126" s="86"/>
      <c r="G126" s="90">
        <f>G15</f>
        <v>514.26300000000003</v>
      </c>
      <c r="H126" s="91"/>
      <c r="I126" s="92">
        <f>I15</f>
        <v>0.2</v>
      </c>
      <c r="J126" s="86"/>
      <c r="K126" s="90">
        <f t="shared" si="19"/>
        <v>1054.1030000000001</v>
      </c>
      <c r="L126" s="91"/>
      <c r="M126" s="92">
        <f>M15</f>
        <v>0.2</v>
      </c>
      <c r="N126" s="86"/>
    </row>
    <row r="127" spans="1:14" s="49" customFormat="1" ht="18" customHeight="1" x14ac:dyDescent="0.25">
      <c r="A127" s="88" t="s">
        <v>235</v>
      </c>
      <c r="B127" s="89" t="str">
        <f>B115</f>
        <v>ОАО "КузбассЭлектро"</v>
      </c>
      <c r="C127" s="90">
        <f>C118</f>
        <v>9323.0710000000327</v>
      </c>
      <c r="D127" s="91"/>
      <c r="E127" s="92">
        <f>E118</f>
        <v>2.5260000000000202</v>
      </c>
      <c r="F127" s="86"/>
      <c r="G127" s="90">
        <f>G118</f>
        <v>11099.70200000003</v>
      </c>
      <c r="H127" s="91"/>
      <c r="I127" s="92">
        <f>I118</f>
        <v>2.9399999999999773</v>
      </c>
      <c r="J127" s="86"/>
      <c r="K127" s="90">
        <f t="shared" si="19"/>
        <v>20422.773000000063</v>
      </c>
      <c r="L127" s="91"/>
      <c r="M127" s="92">
        <f>M118</f>
        <v>2.7330000000000059</v>
      </c>
      <c r="N127" s="86"/>
    </row>
    <row r="128" spans="1:14" s="49" customFormat="1" ht="18" customHeight="1" x14ac:dyDescent="0.25">
      <c r="A128" s="112" t="s">
        <v>236</v>
      </c>
      <c r="B128" s="113" t="s">
        <v>169</v>
      </c>
      <c r="C128" s="90">
        <f>П1.4!G17</f>
        <v>12.077999999999999</v>
      </c>
      <c r="D128" s="91"/>
      <c r="E128" s="92">
        <f>П1.5!G17</f>
        <v>3.0000000000000001E-3</v>
      </c>
      <c r="F128" s="86"/>
      <c r="G128" s="90">
        <f>П1.4!L17</f>
        <v>21.675999999999998</v>
      </c>
      <c r="H128" s="91"/>
      <c r="I128" s="92">
        <f>П1.5!L17</f>
        <v>6.0000000000000001E-3</v>
      </c>
      <c r="J128" s="86"/>
      <c r="K128" s="90">
        <f t="shared" si="19"/>
        <v>33.753999999999998</v>
      </c>
      <c r="L128" s="91"/>
      <c r="M128" s="92">
        <f>П1.5!Q17</f>
        <v>3.5000000000000005E-3</v>
      </c>
      <c r="N128" s="86"/>
    </row>
    <row r="129" spans="1:14" s="49" customFormat="1" ht="18" customHeight="1" x14ac:dyDescent="0.25">
      <c r="A129" s="112" t="s">
        <v>237</v>
      </c>
      <c r="B129" s="113" t="s">
        <v>171</v>
      </c>
      <c r="C129" s="90">
        <f>C123-C128</f>
        <v>10721.683000000034</v>
      </c>
      <c r="D129" s="91"/>
      <c r="E129" s="92">
        <f>E123-E128</f>
        <v>2.8990000000000138</v>
      </c>
      <c r="F129" s="86"/>
      <c r="G129" s="90">
        <f>G123-G128</f>
        <v>12401.431000000013</v>
      </c>
      <c r="H129" s="91"/>
      <c r="I129" s="92">
        <f>I123-I128</f>
        <v>3.2399999999999785</v>
      </c>
      <c r="J129" s="86"/>
      <c r="K129" s="90">
        <f t="shared" si="19"/>
        <v>23123.114000000045</v>
      </c>
      <c r="L129" s="91"/>
      <c r="M129" s="92">
        <f>M123-M128-0.001</f>
        <v>3.0695000000000112</v>
      </c>
      <c r="N129" s="86"/>
    </row>
    <row r="130" spans="1:14" s="93" customFormat="1" ht="18" customHeight="1" x14ac:dyDescent="0.25">
      <c r="A130" s="94"/>
      <c r="B130" s="95" t="s">
        <v>149</v>
      </c>
      <c r="C130" s="96"/>
      <c r="D130" s="97"/>
      <c r="E130" s="99"/>
      <c r="F130" s="98"/>
      <c r="G130" s="96"/>
      <c r="H130" s="97"/>
      <c r="I130" s="99"/>
      <c r="J130" s="98"/>
      <c r="K130" s="97"/>
      <c r="L130" s="97"/>
      <c r="M130" s="99"/>
      <c r="N130" s="98"/>
    </row>
    <row r="131" spans="1:14" s="49" customFormat="1" ht="18" customHeight="1" x14ac:dyDescent="0.25">
      <c r="A131" s="112" t="s">
        <v>238</v>
      </c>
      <c r="B131" s="113" t="s">
        <v>151</v>
      </c>
      <c r="C131" s="90">
        <f>П1.4!G27</f>
        <v>10469.861000000001</v>
      </c>
      <c r="D131" s="91"/>
      <c r="E131" s="92">
        <f>П1.5!G27</f>
        <v>2.8050000000000002</v>
      </c>
      <c r="F131" s="86"/>
      <c r="G131" s="90">
        <f>П1.4!L27</f>
        <v>12144.157999999999</v>
      </c>
      <c r="H131" s="91"/>
      <c r="I131" s="92">
        <f>П1.5!L27</f>
        <v>3.1680000000000001</v>
      </c>
      <c r="J131" s="86"/>
      <c r="K131" s="90">
        <f t="shared" si="19"/>
        <v>22614.019</v>
      </c>
      <c r="L131" s="91"/>
      <c r="M131" s="92">
        <f>П1.5!Q27</f>
        <v>2.9875000000000007</v>
      </c>
      <c r="N131" s="86"/>
    </row>
    <row r="132" spans="1:14" s="49" customFormat="1" ht="18" customHeight="1" x14ac:dyDescent="0.25">
      <c r="A132" s="112" t="s">
        <v>239</v>
      </c>
      <c r="B132" s="113" t="s">
        <v>153</v>
      </c>
      <c r="C132" s="90">
        <f>C129-C131</f>
        <v>251.82200000003286</v>
      </c>
      <c r="D132" s="91"/>
      <c r="E132" s="92">
        <f>E129-E131</f>
        <v>9.4000000000013628E-2</v>
      </c>
      <c r="F132" s="86"/>
      <c r="G132" s="90">
        <f>G120-G131-G128</f>
        <v>257.27300000001327</v>
      </c>
      <c r="H132" s="91"/>
      <c r="I132" s="92">
        <f>I129-I131</f>
        <v>7.1999999999978304E-2</v>
      </c>
      <c r="J132" s="86"/>
      <c r="K132" s="90">
        <f t="shared" si="19"/>
        <v>509.09500000004613</v>
      </c>
      <c r="L132" s="91"/>
      <c r="M132" s="92">
        <f>M129-M131</f>
        <v>8.2000000000010509E-2</v>
      </c>
      <c r="N132" s="86"/>
    </row>
    <row r="133" spans="1:14" s="93" customFormat="1" ht="18" customHeight="1" x14ac:dyDescent="0.25">
      <c r="A133" s="94"/>
      <c r="B133" s="95" t="s">
        <v>154</v>
      </c>
      <c r="C133" s="96"/>
      <c r="D133" s="97"/>
      <c r="E133" s="99"/>
      <c r="F133" s="98"/>
      <c r="G133" s="96"/>
      <c r="H133" s="97"/>
      <c r="I133" s="99"/>
      <c r="J133" s="98"/>
      <c r="K133" s="96"/>
      <c r="L133" s="97"/>
      <c r="M133" s="99"/>
      <c r="N133" s="98"/>
    </row>
    <row r="134" spans="1:14" s="49" customFormat="1" ht="18" customHeight="1" x14ac:dyDescent="0.25">
      <c r="A134" s="88" t="s">
        <v>240</v>
      </c>
      <c r="B134" s="89" t="str">
        <f>B125</f>
        <v>ПАО "МРСК Сибири"-"Кузбассэнерго-РЭС"</v>
      </c>
      <c r="C134" s="90">
        <f>П1.6!F34</f>
        <v>36.281999999999996</v>
      </c>
      <c r="D134" s="91"/>
      <c r="E134" s="92">
        <f>П1.6!K34</f>
        <v>8.0000000000000002E-3</v>
      </c>
      <c r="F134" s="105"/>
      <c r="G134" s="90">
        <f>П1.6!F73</f>
        <v>78.230999999999995</v>
      </c>
      <c r="H134" s="91"/>
      <c r="I134" s="92">
        <f>П1.6!K73</f>
        <v>2.1999999999999999E-2</v>
      </c>
      <c r="J134" s="105"/>
      <c r="K134" s="90">
        <f t="shared" si="19"/>
        <v>114.51299999999999</v>
      </c>
      <c r="L134" s="91"/>
      <c r="M134" s="92">
        <f>П1.6!K113</f>
        <v>1.4E-2</v>
      </c>
      <c r="N134" s="105"/>
    </row>
    <row r="135" spans="1:14" s="49" customFormat="1" ht="18" customHeight="1" x14ac:dyDescent="0.25">
      <c r="A135" s="88" t="s">
        <v>241</v>
      </c>
      <c r="B135" s="89" t="s">
        <v>202</v>
      </c>
      <c r="C135" s="90">
        <f>C134-C125</f>
        <v>-834.56800000000032</v>
      </c>
      <c r="D135" s="91"/>
      <c r="E135" s="92">
        <f>E134-E125</f>
        <v>-0.16799999999999349</v>
      </c>
      <c r="F135" s="105"/>
      <c r="G135" s="90">
        <f>G134-G125</f>
        <v>-730.91099999998164</v>
      </c>
      <c r="H135" s="91"/>
      <c r="I135" s="92">
        <f>I134-I125</f>
        <v>-8.4000000000000768E-2</v>
      </c>
      <c r="J135" s="105"/>
      <c r="K135" s="90">
        <f t="shared" si="19"/>
        <v>-1565.4789999999821</v>
      </c>
      <c r="L135" s="91"/>
      <c r="M135" s="92">
        <f>M134-M125</f>
        <v>-0.12700000000000489</v>
      </c>
      <c r="N135" s="105"/>
    </row>
    <row r="136" spans="1:14" s="49" customFormat="1" ht="18" customHeight="1" x14ac:dyDescent="0.25">
      <c r="A136" s="88" t="s">
        <v>242</v>
      </c>
      <c r="B136" s="89" t="str">
        <f>B126</f>
        <v>АО "СибПСК"</v>
      </c>
      <c r="C136" s="90">
        <v>0</v>
      </c>
      <c r="D136" s="91"/>
      <c r="E136" s="92">
        <v>0</v>
      </c>
      <c r="F136" s="105"/>
      <c r="G136" s="90">
        <v>0</v>
      </c>
      <c r="H136" s="91"/>
      <c r="I136" s="92">
        <v>0</v>
      </c>
      <c r="J136" s="105"/>
      <c r="K136" s="90">
        <f t="shared" si="19"/>
        <v>0</v>
      </c>
      <c r="L136" s="91"/>
      <c r="M136" s="92">
        <v>0</v>
      </c>
      <c r="N136" s="105"/>
    </row>
    <row r="137" spans="1:14" s="49" customFormat="1" ht="18" customHeight="1" x14ac:dyDescent="0.25">
      <c r="A137" s="88" t="s">
        <v>243</v>
      </c>
      <c r="B137" s="89" t="s">
        <v>205</v>
      </c>
      <c r="C137" s="90">
        <f>C136-C126</f>
        <v>-539.84</v>
      </c>
      <c r="D137" s="91"/>
      <c r="E137" s="92">
        <f>E136-E126</f>
        <v>-0.2</v>
      </c>
      <c r="F137" s="105"/>
      <c r="G137" s="90">
        <f>G136-G126</f>
        <v>-514.26300000000003</v>
      </c>
      <c r="H137" s="91"/>
      <c r="I137" s="92">
        <f>I136-I126</f>
        <v>-0.2</v>
      </c>
      <c r="J137" s="105"/>
      <c r="K137" s="90">
        <f t="shared" si="19"/>
        <v>-1054.1030000000001</v>
      </c>
      <c r="L137" s="91"/>
      <c r="M137" s="92">
        <f>M136-M126</f>
        <v>-0.2</v>
      </c>
      <c r="N137" s="105"/>
    </row>
    <row r="138" spans="1:14" s="49" customFormat="1" ht="18" customHeight="1" x14ac:dyDescent="0.25">
      <c r="A138" s="88" t="s">
        <v>244</v>
      </c>
      <c r="B138" s="103" t="str">
        <f>B37</f>
        <v>ООО "Кемэнерго"</v>
      </c>
      <c r="C138" s="90">
        <f>C37</f>
        <v>10.262</v>
      </c>
      <c r="D138" s="91"/>
      <c r="E138" s="92">
        <f>E37</f>
        <v>3.0000000000000001E-3</v>
      </c>
      <c r="F138" s="86"/>
      <c r="G138" s="90">
        <f>П1.6!F77</f>
        <v>0</v>
      </c>
      <c r="H138" s="91"/>
      <c r="I138" s="92">
        <f>I37</f>
        <v>0</v>
      </c>
      <c r="J138" s="86"/>
      <c r="K138" s="90">
        <f t="shared" si="19"/>
        <v>10.262</v>
      </c>
      <c r="L138" s="91"/>
      <c r="M138" s="92">
        <f>M37</f>
        <v>2E-3</v>
      </c>
      <c r="N138" s="86"/>
    </row>
    <row r="139" spans="1:14" s="49" customFormat="1" ht="18" hidden="1" customHeight="1" x14ac:dyDescent="0.25">
      <c r="A139" s="88"/>
      <c r="B139" s="103"/>
      <c r="C139" s="103"/>
      <c r="D139" s="103"/>
      <c r="E139" s="103"/>
      <c r="F139" s="103"/>
      <c r="G139" s="103"/>
      <c r="H139" s="103"/>
      <c r="I139" s="103"/>
      <c r="J139" s="86"/>
      <c r="K139" s="90"/>
      <c r="L139" s="91"/>
      <c r="M139" s="92"/>
      <c r="N139" s="86"/>
    </row>
    <row r="140" spans="1:14" s="49" customFormat="1" ht="18" customHeight="1" x14ac:dyDescent="0.25">
      <c r="A140" s="88" t="s">
        <v>306</v>
      </c>
      <c r="B140" s="103" t="s">
        <v>278</v>
      </c>
      <c r="C140" s="90">
        <f>П1.4!G23</f>
        <v>205.27799999999999</v>
      </c>
      <c r="D140" s="91"/>
      <c r="E140" s="92">
        <f>П1.5!G23</f>
        <v>8.3000000000000004E-2</v>
      </c>
      <c r="F140" s="86"/>
      <c r="G140" s="90">
        <f>П1.4!L23</f>
        <v>179.042</v>
      </c>
      <c r="H140" s="91"/>
      <c r="I140" s="92">
        <f>I39-I89</f>
        <v>4.9999999999999996E-2</v>
      </c>
      <c r="J140" s="86"/>
      <c r="K140" s="90">
        <f t="shared" si="19"/>
        <v>384.32</v>
      </c>
      <c r="L140" s="91"/>
      <c r="M140" s="92">
        <f>M39-M89</f>
        <v>6.5500000000000003E-2</v>
      </c>
      <c r="N140" s="86"/>
    </row>
    <row r="141" spans="1:14" s="49" customFormat="1" ht="18" customHeight="1" x14ac:dyDescent="0.25">
      <c r="A141" s="112" t="s">
        <v>245</v>
      </c>
      <c r="B141" s="113" t="s">
        <v>246</v>
      </c>
      <c r="C141" s="114"/>
      <c r="D141" s="104"/>
      <c r="E141" s="278"/>
      <c r="F141" s="86"/>
      <c r="G141" s="114"/>
      <c r="H141" s="104"/>
      <c r="I141" s="278"/>
      <c r="J141" s="86"/>
      <c r="K141" s="114"/>
      <c r="L141" s="104"/>
      <c r="M141" s="278"/>
      <c r="N141" s="86"/>
    </row>
    <row r="142" spans="1:14" s="49" customFormat="1" ht="18" customHeight="1" x14ac:dyDescent="0.25">
      <c r="A142" s="112" t="s">
        <v>247</v>
      </c>
      <c r="B142" s="271" t="s">
        <v>188</v>
      </c>
      <c r="C142" s="114"/>
      <c r="D142" s="104"/>
      <c r="E142" s="92"/>
      <c r="F142" s="86"/>
      <c r="G142" s="114"/>
      <c r="H142" s="104"/>
      <c r="I142" s="92"/>
      <c r="J142" s="86"/>
      <c r="K142" s="115"/>
      <c r="L142" s="104"/>
      <c r="M142" s="91"/>
      <c r="N142" s="86"/>
    </row>
    <row r="143" spans="1:14" s="49" customFormat="1" ht="18" customHeight="1" x14ac:dyDescent="0.25">
      <c r="A143" s="112" t="s">
        <v>248</v>
      </c>
      <c r="B143" s="113" t="s">
        <v>249</v>
      </c>
      <c r="C143" s="114"/>
      <c r="D143" s="104"/>
      <c r="E143" s="278"/>
      <c r="F143" s="86"/>
      <c r="G143" s="114"/>
      <c r="H143" s="104"/>
      <c r="I143" s="278"/>
      <c r="J143" s="86"/>
      <c r="K143" s="115"/>
      <c r="L143" s="104"/>
      <c r="M143" s="101"/>
      <c r="N143" s="86"/>
    </row>
    <row r="144" spans="1:14" s="93" customFormat="1" ht="18" customHeight="1" x14ac:dyDescent="0.25">
      <c r="A144" s="94"/>
      <c r="B144" s="95" t="s">
        <v>142</v>
      </c>
      <c r="C144" s="96"/>
      <c r="D144" s="97"/>
      <c r="E144" s="99"/>
      <c r="F144" s="98"/>
      <c r="G144" s="99"/>
      <c r="H144" s="97"/>
      <c r="I144" s="97"/>
      <c r="J144" s="98"/>
      <c r="K144" s="99"/>
      <c r="L144" s="97"/>
      <c r="M144" s="97"/>
      <c r="N144" s="98"/>
    </row>
    <row r="145" spans="1:14" s="49" customFormat="1" ht="18" customHeight="1" x14ac:dyDescent="0.25">
      <c r="A145" s="112" t="s">
        <v>250</v>
      </c>
      <c r="B145" s="113" t="s">
        <v>192</v>
      </c>
      <c r="C145" s="114"/>
      <c r="D145" s="104"/>
      <c r="E145" s="278"/>
      <c r="F145" s="86"/>
      <c r="G145" s="115"/>
      <c r="H145" s="104"/>
      <c r="I145" s="101"/>
      <c r="J145" s="86"/>
      <c r="K145" s="115"/>
      <c r="L145" s="104"/>
      <c r="M145" s="101"/>
      <c r="N145" s="86"/>
    </row>
    <row r="146" spans="1:14" s="49" customFormat="1" ht="18" customHeight="1" x14ac:dyDescent="0.25">
      <c r="A146" s="112" t="s">
        <v>251</v>
      </c>
      <c r="B146" s="113" t="s">
        <v>141</v>
      </c>
      <c r="C146" s="114"/>
      <c r="D146" s="104"/>
      <c r="E146" s="278"/>
      <c r="F146" s="86"/>
      <c r="G146" s="115"/>
      <c r="H146" s="104"/>
      <c r="I146" s="101"/>
      <c r="J146" s="86"/>
      <c r="K146" s="115"/>
      <c r="L146" s="104"/>
      <c r="M146" s="101"/>
      <c r="N146" s="86"/>
    </row>
    <row r="147" spans="1:14" s="93" customFormat="1" ht="18" customHeight="1" x14ac:dyDescent="0.25">
      <c r="A147" s="94"/>
      <c r="B147" s="95" t="s">
        <v>142</v>
      </c>
      <c r="C147" s="96"/>
      <c r="D147" s="97"/>
      <c r="E147" s="99"/>
      <c r="F147" s="98"/>
      <c r="G147" s="99"/>
      <c r="H147" s="97"/>
      <c r="I147" s="97"/>
      <c r="J147" s="98"/>
      <c r="K147" s="99"/>
      <c r="L147" s="97"/>
      <c r="M147" s="97"/>
      <c r="N147" s="98"/>
    </row>
    <row r="148" spans="1:14" s="49" customFormat="1" ht="18" customHeight="1" x14ac:dyDescent="0.25">
      <c r="A148" s="88" t="s">
        <v>252</v>
      </c>
      <c r="B148" s="89" t="s">
        <v>143</v>
      </c>
      <c r="C148" s="114"/>
      <c r="D148" s="104"/>
      <c r="E148" s="278"/>
      <c r="F148" s="86"/>
      <c r="G148" s="115"/>
      <c r="H148" s="104"/>
      <c r="I148" s="101"/>
      <c r="J148" s="86"/>
      <c r="K148" s="115"/>
      <c r="L148" s="104"/>
      <c r="M148" s="101"/>
      <c r="N148" s="86"/>
    </row>
    <row r="149" spans="1:14" s="49" customFormat="1" ht="18" customHeight="1" x14ac:dyDescent="0.25">
      <c r="A149" s="88" t="s">
        <v>253</v>
      </c>
      <c r="B149" s="89" t="s">
        <v>144</v>
      </c>
      <c r="C149" s="114"/>
      <c r="D149" s="104"/>
      <c r="E149" s="278"/>
      <c r="F149" s="86"/>
      <c r="G149" s="115"/>
      <c r="H149" s="104"/>
      <c r="I149" s="101"/>
      <c r="J149" s="86"/>
      <c r="K149" s="115"/>
      <c r="L149" s="104"/>
      <c r="M149" s="101"/>
      <c r="N149" s="86"/>
    </row>
    <row r="150" spans="1:14" s="49" customFormat="1" ht="18" customHeight="1" x14ac:dyDescent="0.25">
      <c r="A150" s="88"/>
      <c r="B150" s="89" t="s">
        <v>167</v>
      </c>
      <c r="C150" s="114"/>
      <c r="D150" s="104"/>
      <c r="E150" s="278"/>
      <c r="F150" s="86"/>
      <c r="G150" s="115"/>
      <c r="H150" s="104"/>
      <c r="I150" s="101"/>
      <c r="J150" s="86"/>
      <c r="K150" s="115"/>
      <c r="L150" s="104"/>
      <c r="M150" s="101"/>
      <c r="N150" s="86"/>
    </row>
    <row r="151" spans="1:14" s="49" customFormat="1" ht="18" customHeight="1" x14ac:dyDescent="0.25">
      <c r="A151" s="112" t="s">
        <v>254</v>
      </c>
      <c r="B151" s="113" t="s">
        <v>169</v>
      </c>
      <c r="C151" s="114"/>
      <c r="D151" s="104"/>
      <c r="E151" s="278"/>
      <c r="F151" s="86"/>
      <c r="G151" s="115"/>
      <c r="H151" s="104"/>
      <c r="I151" s="101"/>
      <c r="J151" s="86"/>
      <c r="K151" s="115"/>
      <c r="L151" s="104"/>
      <c r="M151" s="101"/>
      <c r="N151" s="86"/>
    </row>
    <row r="152" spans="1:14" s="49" customFormat="1" ht="18" customHeight="1" x14ac:dyDescent="0.25">
      <c r="A152" s="112" t="s">
        <v>255</v>
      </c>
      <c r="B152" s="113" t="s">
        <v>171</v>
      </c>
      <c r="C152" s="114"/>
      <c r="D152" s="104"/>
      <c r="E152" s="278"/>
      <c r="F152" s="86"/>
      <c r="G152" s="115"/>
      <c r="H152" s="104"/>
      <c r="I152" s="101"/>
      <c r="J152" s="86"/>
      <c r="K152" s="115"/>
      <c r="L152" s="104"/>
      <c r="M152" s="101"/>
      <c r="N152" s="86"/>
    </row>
    <row r="153" spans="1:14" s="93" customFormat="1" ht="18" customHeight="1" x14ac:dyDescent="0.25">
      <c r="A153" s="94"/>
      <c r="B153" s="95" t="s">
        <v>149</v>
      </c>
      <c r="C153" s="96"/>
      <c r="D153" s="97"/>
      <c r="E153" s="99"/>
      <c r="F153" s="98"/>
      <c r="G153" s="99"/>
      <c r="H153" s="97"/>
      <c r="I153" s="97"/>
      <c r="J153" s="98"/>
      <c r="K153" s="99"/>
      <c r="L153" s="97"/>
      <c r="M153" s="97"/>
      <c r="N153" s="98"/>
    </row>
    <row r="154" spans="1:14" s="49" customFormat="1" ht="18" customHeight="1" x14ac:dyDescent="0.25">
      <c r="A154" s="112" t="s">
        <v>256</v>
      </c>
      <c r="B154" s="113" t="s">
        <v>151</v>
      </c>
      <c r="C154" s="114"/>
      <c r="D154" s="104"/>
      <c r="E154" s="278"/>
      <c r="F154" s="86"/>
      <c r="G154" s="115"/>
      <c r="H154" s="104"/>
      <c r="I154" s="101"/>
      <c r="J154" s="86"/>
      <c r="K154" s="115"/>
      <c r="L154" s="104"/>
      <c r="M154" s="101"/>
      <c r="N154" s="86"/>
    </row>
    <row r="155" spans="1:14" s="49" customFormat="1" ht="18" customHeight="1" x14ac:dyDescent="0.25">
      <c r="A155" s="112" t="s">
        <v>257</v>
      </c>
      <c r="B155" s="113" t="s">
        <v>153</v>
      </c>
      <c r="C155" s="114"/>
      <c r="D155" s="104"/>
      <c r="E155" s="101"/>
      <c r="F155" s="86"/>
      <c r="G155" s="115"/>
      <c r="H155" s="104"/>
      <c r="I155" s="101"/>
      <c r="J155" s="86"/>
      <c r="K155" s="115"/>
      <c r="L155" s="104"/>
      <c r="M155" s="101"/>
      <c r="N155" s="86"/>
    </row>
    <row r="156" spans="1:14" s="93" customFormat="1" ht="18" customHeight="1" x14ac:dyDescent="0.25">
      <c r="A156" s="94"/>
      <c r="B156" s="95" t="s">
        <v>154</v>
      </c>
      <c r="C156" s="96"/>
      <c r="D156" s="97"/>
      <c r="E156" s="97"/>
      <c r="F156" s="98"/>
      <c r="G156" s="99"/>
      <c r="H156" s="97"/>
      <c r="I156" s="97"/>
      <c r="J156" s="98"/>
      <c r="K156" s="99"/>
      <c r="L156" s="97"/>
      <c r="M156" s="97"/>
      <c r="N156" s="98"/>
    </row>
    <row r="157" spans="1:14" s="49" customFormat="1" ht="18" customHeight="1" x14ac:dyDescent="0.25">
      <c r="A157" s="88" t="s">
        <v>258</v>
      </c>
      <c r="B157" s="89" t="s">
        <v>143</v>
      </c>
      <c r="C157" s="114"/>
      <c r="D157" s="104"/>
      <c r="E157" s="101"/>
      <c r="F157" s="86"/>
      <c r="G157" s="115"/>
      <c r="H157" s="104"/>
      <c r="I157" s="101"/>
      <c r="J157" s="86"/>
      <c r="K157" s="115"/>
      <c r="L157" s="104"/>
      <c r="M157" s="101"/>
      <c r="N157" s="86"/>
    </row>
    <row r="158" spans="1:14" s="49" customFormat="1" ht="18" customHeight="1" x14ac:dyDescent="0.25">
      <c r="A158" s="88" t="s">
        <v>259</v>
      </c>
      <c r="B158" s="89" t="s">
        <v>260</v>
      </c>
      <c r="C158" s="114"/>
      <c r="D158" s="104"/>
      <c r="E158" s="101"/>
      <c r="F158" s="86"/>
      <c r="G158" s="115"/>
      <c r="H158" s="104"/>
      <c r="I158" s="101"/>
      <c r="J158" s="86"/>
      <c r="K158" s="115"/>
      <c r="L158" s="104"/>
      <c r="M158" s="101"/>
      <c r="N158" s="86"/>
    </row>
    <row r="159" spans="1:14" s="49" customFormat="1" ht="18" customHeight="1" x14ac:dyDescent="0.25">
      <c r="A159" s="88" t="s">
        <v>261</v>
      </c>
      <c r="B159" s="89" t="s">
        <v>144</v>
      </c>
      <c r="C159" s="114"/>
      <c r="D159" s="104"/>
      <c r="E159" s="101"/>
      <c r="F159" s="86"/>
      <c r="G159" s="115"/>
      <c r="H159" s="104"/>
      <c r="I159" s="101"/>
      <c r="J159" s="86"/>
      <c r="K159" s="115"/>
      <c r="L159" s="104"/>
      <c r="M159" s="101"/>
      <c r="N159" s="86"/>
    </row>
    <row r="160" spans="1:14" s="49" customFormat="1" ht="18" customHeight="1" x14ac:dyDescent="0.25">
      <c r="A160" s="88" t="s">
        <v>262</v>
      </c>
      <c r="B160" s="89" t="s">
        <v>263</v>
      </c>
      <c r="C160" s="114"/>
      <c r="D160" s="104"/>
      <c r="E160" s="101"/>
      <c r="F160" s="86"/>
      <c r="G160" s="115"/>
      <c r="H160" s="104"/>
      <c r="I160" s="101"/>
      <c r="J160" s="86"/>
      <c r="K160" s="115"/>
      <c r="L160" s="104"/>
      <c r="M160" s="101"/>
      <c r="N160" s="86"/>
    </row>
    <row r="161" spans="1:14" s="49" customFormat="1" ht="18" customHeight="1" thickBot="1" x14ac:dyDescent="0.3">
      <c r="A161" s="116"/>
      <c r="B161" s="117" t="s">
        <v>167</v>
      </c>
      <c r="C161" s="118"/>
      <c r="D161" s="119"/>
      <c r="E161" s="120"/>
      <c r="F161" s="121"/>
      <c r="G161" s="122"/>
      <c r="H161" s="119"/>
      <c r="I161" s="120"/>
      <c r="J161" s="121"/>
      <c r="K161" s="122"/>
      <c r="L161" s="119"/>
      <c r="M161" s="120"/>
      <c r="N161" s="121"/>
    </row>
    <row r="162" spans="1:14" s="49" customFormat="1" x14ac:dyDescent="0.25">
      <c r="A162" s="123"/>
      <c r="B162" s="124"/>
      <c r="C162" s="125"/>
      <c r="D162" s="125"/>
      <c r="G162" s="125"/>
      <c r="H162" s="125"/>
      <c r="K162" s="125"/>
      <c r="L162" s="125"/>
    </row>
    <row r="163" spans="1:14" s="49" customFormat="1" x14ac:dyDescent="0.25">
      <c r="A163" s="126"/>
      <c r="B163" s="124"/>
      <c r="C163" s="125"/>
      <c r="D163" s="125"/>
      <c r="G163" s="125"/>
      <c r="H163" s="125"/>
      <c r="K163" s="125"/>
      <c r="L163" s="125"/>
    </row>
    <row r="164" spans="1:14" s="49" customFormat="1" x14ac:dyDescent="0.25">
      <c r="A164" s="123"/>
      <c r="B164" s="124"/>
      <c r="C164" s="125"/>
      <c r="D164" s="125"/>
      <c r="G164" s="125"/>
      <c r="H164" s="125"/>
      <c r="K164" s="125"/>
      <c r="L164" s="125"/>
    </row>
    <row r="165" spans="1:14" s="49" customFormat="1" x14ac:dyDescent="0.25">
      <c r="A165" s="123"/>
      <c r="B165" s="124"/>
      <c r="C165" s="125"/>
      <c r="D165" s="125"/>
      <c r="G165" s="125"/>
      <c r="H165" s="125"/>
      <c r="K165" s="125"/>
      <c r="L165" s="125"/>
    </row>
    <row r="166" spans="1:14" s="49" customFormat="1" x14ac:dyDescent="0.25">
      <c r="A166" s="123"/>
      <c r="B166" s="124"/>
      <c r="C166" s="125"/>
      <c r="D166" s="125"/>
      <c r="G166" s="125"/>
      <c r="H166" s="125"/>
      <c r="K166" s="125"/>
      <c r="L166" s="125"/>
    </row>
    <row r="167" spans="1:14" s="49" customFormat="1" x14ac:dyDescent="0.25">
      <c r="A167" s="123"/>
      <c r="B167" s="124"/>
      <c r="C167" s="125"/>
      <c r="D167" s="125"/>
      <c r="G167" s="125"/>
      <c r="H167" s="125"/>
      <c r="K167" s="125"/>
      <c r="L167" s="125"/>
    </row>
    <row r="168" spans="1:14" s="49" customFormat="1" x14ac:dyDescent="0.25">
      <c r="A168" s="123"/>
      <c r="B168" s="124"/>
      <c r="C168" s="125"/>
      <c r="D168" s="125"/>
      <c r="G168" s="125"/>
      <c r="H168" s="125"/>
      <c r="K168" s="125"/>
      <c r="L168" s="125"/>
    </row>
    <row r="169" spans="1:14" s="49" customFormat="1" x14ac:dyDescent="0.25">
      <c r="A169" s="123"/>
      <c r="B169" s="124"/>
      <c r="C169" s="125"/>
      <c r="D169" s="125"/>
      <c r="G169" s="125"/>
      <c r="H169" s="125"/>
      <c r="K169" s="125"/>
      <c r="L169" s="125"/>
    </row>
    <row r="170" spans="1:14" s="49" customFormat="1" x14ac:dyDescent="0.25">
      <c r="A170" s="123"/>
      <c r="B170" s="124"/>
      <c r="C170" s="125"/>
      <c r="D170" s="125"/>
      <c r="G170" s="125"/>
      <c r="H170" s="125"/>
      <c r="K170" s="125"/>
      <c r="L170" s="125"/>
    </row>
    <row r="171" spans="1:14" s="49" customFormat="1" x14ac:dyDescent="0.25">
      <c r="A171" s="123"/>
      <c r="B171" s="124"/>
      <c r="C171" s="125"/>
      <c r="D171" s="125"/>
      <c r="G171" s="125"/>
      <c r="H171" s="125"/>
      <c r="K171" s="125"/>
      <c r="L171" s="125"/>
    </row>
    <row r="172" spans="1:14" s="49" customFormat="1" x14ac:dyDescent="0.25">
      <c r="A172" s="123"/>
      <c r="B172" s="124"/>
      <c r="C172" s="125"/>
      <c r="D172" s="125"/>
      <c r="G172" s="125"/>
      <c r="H172" s="125"/>
      <c r="K172" s="125"/>
      <c r="L172" s="125"/>
    </row>
    <row r="173" spans="1:14" s="49" customFormat="1" x14ac:dyDescent="0.25">
      <c r="A173" s="123"/>
      <c r="B173" s="124"/>
      <c r="C173" s="125"/>
      <c r="D173" s="125"/>
      <c r="G173" s="125"/>
      <c r="H173" s="125"/>
      <c r="K173" s="125"/>
      <c r="L173" s="125"/>
    </row>
    <row r="174" spans="1:14" s="49" customFormat="1" x14ac:dyDescent="0.25">
      <c r="A174" s="123"/>
      <c r="B174" s="124"/>
      <c r="C174" s="125"/>
      <c r="D174" s="125"/>
      <c r="G174" s="125"/>
      <c r="H174" s="125"/>
      <c r="K174" s="125"/>
      <c r="L174" s="125"/>
    </row>
    <row r="175" spans="1:14" s="49" customFormat="1" x14ac:dyDescent="0.25">
      <c r="A175" s="123"/>
      <c r="B175" s="124"/>
      <c r="C175" s="125"/>
      <c r="D175" s="125"/>
      <c r="G175" s="125"/>
      <c r="H175" s="125"/>
      <c r="K175" s="125"/>
      <c r="L175" s="125"/>
    </row>
  </sheetData>
  <mergeCells count="7">
    <mergeCell ref="K5:N5"/>
    <mergeCell ref="A2:F2"/>
    <mergeCell ref="A3:F3"/>
    <mergeCell ref="A5:A6"/>
    <mergeCell ref="B5:B6"/>
    <mergeCell ref="C5:F5"/>
    <mergeCell ref="G5:J5"/>
  </mergeCells>
  <printOptions horizontalCentered="1"/>
  <pageMargins left="0.39370078740157483" right="0" top="0.39370078740157483" bottom="0.39370078740157483" header="0.31496062992125984" footer="0.31496062992125984"/>
  <pageSetup paperSize="9" scale="50" orientation="landscape" r:id="rId1"/>
  <headerFooter alignWithMargins="0"/>
  <rowBreaks count="2" manualBreakCount="2">
    <brk id="61" max="13" man="1"/>
    <brk id="12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G63"/>
  <sheetViews>
    <sheetView topLeftCell="A10" zoomScaleNormal="100" zoomScaleSheetLayoutView="85" workbookViewId="0">
      <pane xSplit="2" topLeftCell="C1" activePane="topRight" state="frozen"/>
      <selection activeCell="C1" sqref="C1:D1"/>
      <selection pane="topRight" activeCell="F36" sqref="F36"/>
    </sheetView>
  </sheetViews>
  <sheetFormatPr defaultColWidth="9.140625" defaultRowHeight="12.75" x14ac:dyDescent="0.2"/>
  <cols>
    <col min="1" max="1" width="10.42578125" style="130" customWidth="1"/>
    <col min="2" max="2" width="16.5703125" style="175" customWidth="1"/>
    <col min="3" max="3" width="11.85546875" style="175" customWidth="1"/>
    <col min="4" max="4" width="14.5703125" style="130" customWidth="1"/>
    <col min="5" max="5" width="23.5703125" style="134" customWidth="1"/>
    <col min="6" max="6" width="15.5703125" style="130" customWidth="1"/>
    <col min="7" max="7" width="16.42578125" style="130" customWidth="1"/>
    <col min="8" max="16384" width="9.140625" style="130"/>
  </cols>
  <sheetData>
    <row r="1" spans="1:7" ht="18.75" x14ac:dyDescent="0.3">
      <c r="B1" s="131"/>
      <c r="C1" s="131"/>
      <c r="E1" s="132"/>
      <c r="F1" s="349" t="s">
        <v>264</v>
      </c>
      <c r="G1" s="350"/>
    </row>
    <row r="2" spans="1:7" ht="81.75" customHeight="1" x14ac:dyDescent="0.2">
      <c r="A2" s="351" t="s">
        <v>24</v>
      </c>
      <c r="B2" s="352"/>
      <c r="C2" s="352"/>
      <c r="D2" s="352"/>
      <c r="E2" s="352"/>
      <c r="F2" s="352"/>
      <c r="G2" s="352"/>
    </row>
    <row r="3" spans="1:7" ht="15.75" customHeight="1" x14ac:dyDescent="0.2">
      <c r="A3" s="353" t="str">
        <f>П1.5!B1</f>
        <v>ОАО "КузбассЭлектро"</v>
      </c>
      <c r="B3" s="353"/>
      <c r="C3" s="353"/>
      <c r="D3" s="353"/>
      <c r="E3" s="353"/>
      <c r="F3" s="353"/>
      <c r="G3" s="353"/>
    </row>
    <row r="4" spans="1:7" ht="13.5" thickBot="1" x14ac:dyDescent="0.25">
      <c r="B4" s="133"/>
      <c r="C4" s="133"/>
    </row>
    <row r="5" spans="1:7" ht="21.75" customHeight="1" x14ac:dyDescent="0.2">
      <c r="A5" s="354" t="s">
        <v>25</v>
      </c>
      <c r="B5" s="357" t="s">
        <v>26</v>
      </c>
      <c r="C5" s="357" t="s">
        <v>27</v>
      </c>
      <c r="D5" s="360" t="s">
        <v>265</v>
      </c>
      <c r="E5" s="363" t="s">
        <v>319</v>
      </c>
      <c r="F5" s="364"/>
      <c r="G5" s="365"/>
    </row>
    <row r="6" spans="1:7" ht="34.5" customHeight="1" x14ac:dyDescent="0.2">
      <c r="A6" s="355"/>
      <c r="B6" s="358"/>
      <c r="C6" s="358"/>
      <c r="D6" s="361"/>
      <c r="E6" s="135" t="s">
        <v>28</v>
      </c>
      <c r="F6" s="136" t="s">
        <v>29</v>
      </c>
      <c r="G6" s="137" t="s">
        <v>30</v>
      </c>
    </row>
    <row r="7" spans="1:7" ht="13.5" thickBot="1" x14ac:dyDescent="0.25">
      <c r="A7" s="356"/>
      <c r="B7" s="359"/>
      <c r="C7" s="359"/>
      <c r="D7" s="362"/>
      <c r="E7" s="135" t="s">
        <v>31</v>
      </c>
      <c r="F7" s="136" t="s">
        <v>32</v>
      </c>
      <c r="G7" s="137" t="s">
        <v>33</v>
      </c>
    </row>
    <row r="8" spans="1:7" x14ac:dyDescent="0.2">
      <c r="A8" s="386" t="s">
        <v>34</v>
      </c>
      <c r="B8" s="387" t="s">
        <v>35</v>
      </c>
      <c r="C8" s="138">
        <v>1</v>
      </c>
      <c r="D8" s="139" t="s">
        <v>266</v>
      </c>
      <c r="E8" s="140">
        <v>400</v>
      </c>
      <c r="F8" s="141"/>
      <c r="G8" s="142">
        <f t="shared" ref="G8:G25" si="0">E8*F8/100</f>
        <v>0</v>
      </c>
    </row>
    <row r="9" spans="1:7" ht="15" customHeight="1" x14ac:dyDescent="0.2">
      <c r="A9" s="384"/>
      <c r="B9" s="388"/>
      <c r="C9" s="138"/>
      <c r="D9" s="139" t="s">
        <v>267</v>
      </c>
      <c r="E9" s="140">
        <v>300</v>
      </c>
      <c r="F9" s="141"/>
      <c r="G9" s="142">
        <f t="shared" si="0"/>
        <v>0</v>
      </c>
    </row>
    <row r="10" spans="1:7" x14ac:dyDescent="0.2">
      <c r="A10" s="384"/>
      <c r="B10" s="387" t="s">
        <v>36</v>
      </c>
      <c r="C10" s="390" t="s">
        <v>37</v>
      </c>
      <c r="D10" s="139" t="s">
        <v>266</v>
      </c>
      <c r="E10" s="140">
        <v>230</v>
      </c>
      <c r="F10" s="141"/>
      <c r="G10" s="142">
        <f t="shared" si="0"/>
        <v>0</v>
      </c>
    </row>
    <row r="11" spans="1:7" x14ac:dyDescent="0.2">
      <c r="A11" s="384"/>
      <c r="B11" s="389"/>
      <c r="C11" s="391"/>
      <c r="D11" s="139" t="s">
        <v>267</v>
      </c>
      <c r="E11" s="140">
        <v>170</v>
      </c>
      <c r="F11" s="141"/>
      <c r="G11" s="142">
        <f t="shared" si="0"/>
        <v>0</v>
      </c>
    </row>
    <row r="12" spans="1:7" s="143" customFormat="1" x14ac:dyDescent="0.2">
      <c r="A12" s="384"/>
      <c r="B12" s="389"/>
      <c r="C12" s="390" t="s">
        <v>38</v>
      </c>
      <c r="D12" s="139" t="s">
        <v>266</v>
      </c>
      <c r="E12" s="140">
        <v>290</v>
      </c>
      <c r="F12" s="141"/>
      <c r="G12" s="142">
        <f t="shared" si="0"/>
        <v>0</v>
      </c>
    </row>
    <row r="13" spans="1:7" x14ac:dyDescent="0.2">
      <c r="A13" s="384"/>
      <c r="B13" s="388"/>
      <c r="C13" s="391"/>
      <c r="D13" s="139" t="s">
        <v>267</v>
      </c>
      <c r="E13" s="140">
        <v>210</v>
      </c>
      <c r="F13" s="141"/>
      <c r="G13" s="142">
        <f t="shared" si="0"/>
        <v>0</v>
      </c>
    </row>
    <row r="14" spans="1:7" x14ac:dyDescent="0.2">
      <c r="A14" s="384"/>
      <c r="B14" s="369">
        <v>220</v>
      </c>
      <c r="C14" s="372">
        <v>1</v>
      </c>
      <c r="D14" s="144" t="s">
        <v>268</v>
      </c>
      <c r="E14" s="140">
        <v>260</v>
      </c>
      <c r="F14" s="141"/>
      <c r="G14" s="142">
        <f t="shared" si="0"/>
        <v>0</v>
      </c>
    </row>
    <row r="15" spans="1:7" ht="11.25" customHeight="1" x14ac:dyDescent="0.2">
      <c r="A15" s="384"/>
      <c r="B15" s="370"/>
      <c r="C15" s="373"/>
      <c r="D15" s="144" t="s">
        <v>266</v>
      </c>
      <c r="E15" s="140">
        <v>210</v>
      </c>
      <c r="F15" s="141"/>
      <c r="G15" s="142">
        <f t="shared" si="0"/>
        <v>0</v>
      </c>
    </row>
    <row r="16" spans="1:7" ht="13.5" customHeight="1" x14ac:dyDescent="0.2">
      <c r="A16" s="384"/>
      <c r="B16" s="370"/>
      <c r="C16" s="374"/>
      <c r="D16" s="144" t="s">
        <v>267</v>
      </c>
      <c r="E16" s="140">
        <v>140</v>
      </c>
      <c r="F16" s="141"/>
      <c r="G16" s="142">
        <f t="shared" si="0"/>
        <v>0</v>
      </c>
    </row>
    <row r="17" spans="1:7" ht="12.75" customHeight="1" x14ac:dyDescent="0.2">
      <c r="A17" s="384"/>
      <c r="B17" s="370"/>
      <c r="C17" s="372">
        <v>2</v>
      </c>
      <c r="D17" s="144" t="s">
        <v>266</v>
      </c>
      <c r="E17" s="140">
        <v>270</v>
      </c>
      <c r="F17" s="141"/>
      <c r="G17" s="142">
        <f t="shared" si="0"/>
        <v>0</v>
      </c>
    </row>
    <row r="18" spans="1:7" s="145" customFormat="1" ht="12" customHeight="1" x14ac:dyDescent="0.2">
      <c r="A18" s="384"/>
      <c r="B18" s="371"/>
      <c r="C18" s="374"/>
      <c r="D18" s="144" t="s">
        <v>267</v>
      </c>
      <c r="E18" s="140">
        <v>180</v>
      </c>
      <c r="F18" s="141"/>
      <c r="G18" s="142">
        <f t="shared" si="0"/>
        <v>0</v>
      </c>
    </row>
    <row r="19" spans="1:7" x14ac:dyDescent="0.2">
      <c r="A19" s="384"/>
      <c r="B19" s="369" t="s">
        <v>39</v>
      </c>
      <c r="C19" s="372">
        <v>1</v>
      </c>
      <c r="D19" s="144" t="s">
        <v>268</v>
      </c>
      <c r="E19" s="140">
        <v>180</v>
      </c>
      <c r="F19" s="141"/>
      <c r="G19" s="142">
        <f t="shared" si="0"/>
        <v>0</v>
      </c>
    </row>
    <row r="20" spans="1:7" x14ac:dyDescent="0.2">
      <c r="A20" s="384"/>
      <c r="B20" s="370"/>
      <c r="C20" s="373"/>
      <c r="D20" s="144" t="s">
        <v>266</v>
      </c>
      <c r="E20" s="140">
        <v>160</v>
      </c>
      <c r="F20" s="146">
        <v>1.48</v>
      </c>
      <c r="G20" s="142">
        <f t="shared" si="0"/>
        <v>2.3680000000000003</v>
      </c>
    </row>
    <row r="21" spans="1:7" x14ac:dyDescent="0.2">
      <c r="A21" s="384"/>
      <c r="B21" s="370"/>
      <c r="C21" s="374"/>
      <c r="D21" s="144" t="s">
        <v>267</v>
      </c>
      <c r="E21" s="140">
        <v>130</v>
      </c>
      <c r="F21" s="146">
        <v>1.2</v>
      </c>
      <c r="G21" s="142">
        <f t="shared" si="0"/>
        <v>1.56</v>
      </c>
    </row>
    <row r="22" spans="1:7" x14ac:dyDescent="0.2">
      <c r="A22" s="384"/>
      <c r="B22" s="370"/>
      <c r="C22" s="372">
        <v>2</v>
      </c>
      <c r="D22" s="144" t="s">
        <v>266</v>
      </c>
      <c r="E22" s="140">
        <v>190</v>
      </c>
      <c r="F22" s="146">
        <v>6.63</v>
      </c>
      <c r="G22" s="142">
        <f t="shared" si="0"/>
        <v>12.597000000000001</v>
      </c>
    </row>
    <row r="23" spans="1:7" x14ac:dyDescent="0.2">
      <c r="A23" s="385"/>
      <c r="B23" s="371"/>
      <c r="C23" s="374"/>
      <c r="D23" s="144" t="s">
        <v>267</v>
      </c>
      <c r="E23" s="140">
        <v>160</v>
      </c>
      <c r="F23" s="146"/>
      <c r="G23" s="142">
        <f t="shared" si="0"/>
        <v>0</v>
      </c>
    </row>
    <row r="24" spans="1:7" x14ac:dyDescent="0.2">
      <c r="A24" s="381" t="s">
        <v>40</v>
      </c>
      <c r="B24" s="147">
        <v>220</v>
      </c>
      <c r="C24" s="148" t="s">
        <v>41</v>
      </c>
      <c r="D24" s="144" t="s">
        <v>41</v>
      </c>
      <c r="E24" s="140">
        <v>3000</v>
      </c>
      <c r="F24" s="146"/>
      <c r="G24" s="142">
        <f t="shared" si="0"/>
        <v>0</v>
      </c>
    </row>
    <row r="25" spans="1:7" x14ac:dyDescent="0.2">
      <c r="A25" s="382"/>
      <c r="B25" s="147">
        <v>110</v>
      </c>
      <c r="C25" s="148" t="s">
        <v>41</v>
      </c>
      <c r="D25" s="144" t="s">
        <v>41</v>
      </c>
      <c r="E25" s="140">
        <v>2300</v>
      </c>
      <c r="F25" s="146"/>
      <c r="G25" s="142">
        <f t="shared" si="0"/>
        <v>0</v>
      </c>
    </row>
    <row r="26" spans="1:7" x14ac:dyDescent="0.2">
      <c r="A26" s="149" t="s">
        <v>42</v>
      </c>
      <c r="B26" s="150"/>
      <c r="C26" s="151"/>
      <c r="D26" s="152"/>
      <c r="E26" s="153">
        <f>SUM(E14:E25)</f>
        <v>7180</v>
      </c>
      <c r="F26" s="154"/>
      <c r="G26" s="155">
        <f>SUM(G14:G25)</f>
        <v>16.525000000000002</v>
      </c>
    </row>
    <row r="27" spans="1:7" x14ac:dyDescent="0.2">
      <c r="A27" s="383" t="s">
        <v>34</v>
      </c>
      <c r="B27" s="369">
        <v>35</v>
      </c>
      <c r="C27" s="372">
        <v>1</v>
      </c>
      <c r="D27" s="144" t="s">
        <v>268</v>
      </c>
      <c r="E27" s="140">
        <v>170</v>
      </c>
      <c r="F27" s="146"/>
      <c r="G27" s="142">
        <f t="shared" ref="G27:G36" si="1">E27*F27/100</f>
        <v>0</v>
      </c>
    </row>
    <row r="28" spans="1:7" x14ac:dyDescent="0.2">
      <c r="A28" s="384"/>
      <c r="B28" s="370"/>
      <c r="C28" s="373"/>
      <c r="D28" s="144" t="s">
        <v>266</v>
      </c>
      <c r="E28" s="140">
        <v>140</v>
      </c>
      <c r="F28" s="146">
        <v>22.08</v>
      </c>
      <c r="G28" s="142">
        <f t="shared" si="1"/>
        <v>30.911999999999999</v>
      </c>
    </row>
    <row r="29" spans="1:7" x14ac:dyDescent="0.2">
      <c r="A29" s="384"/>
      <c r="B29" s="370"/>
      <c r="C29" s="374"/>
      <c r="D29" s="144" t="s">
        <v>267</v>
      </c>
      <c r="E29" s="140">
        <v>120</v>
      </c>
      <c r="F29" s="146">
        <v>14.63</v>
      </c>
      <c r="G29" s="142">
        <f t="shared" si="1"/>
        <v>17.556000000000001</v>
      </c>
    </row>
    <row r="30" spans="1:7" x14ac:dyDescent="0.2">
      <c r="A30" s="384"/>
      <c r="B30" s="370"/>
      <c r="C30" s="372">
        <v>2</v>
      </c>
      <c r="D30" s="144" t="s">
        <v>266</v>
      </c>
      <c r="E30" s="140">
        <v>180</v>
      </c>
      <c r="F30" s="146">
        <v>47.47</v>
      </c>
      <c r="G30" s="142">
        <f t="shared" si="1"/>
        <v>85.445999999999998</v>
      </c>
    </row>
    <row r="31" spans="1:7" x14ac:dyDescent="0.2">
      <c r="A31" s="384"/>
      <c r="B31" s="371"/>
      <c r="C31" s="374"/>
      <c r="D31" s="144" t="s">
        <v>267</v>
      </c>
      <c r="E31" s="140">
        <v>150</v>
      </c>
      <c r="F31" s="146">
        <v>25.15</v>
      </c>
      <c r="G31" s="142">
        <f t="shared" si="1"/>
        <v>37.725000000000001</v>
      </c>
    </row>
    <row r="32" spans="1:7" x14ac:dyDescent="0.2">
      <c r="A32" s="384"/>
      <c r="B32" s="369" t="s">
        <v>269</v>
      </c>
      <c r="C32" s="148" t="s">
        <v>41</v>
      </c>
      <c r="D32" s="144" t="s">
        <v>268</v>
      </c>
      <c r="E32" s="140">
        <v>160</v>
      </c>
      <c r="F32" s="146"/>
      <c r="G32" s="142">
        <f t="shared" si="1"/>
        <v>0</v>
      </c>
    </row>
    <row r="33" spans="1:7" x14ac:dyDescent="0.2">
      <c r="A33" s="384"/>
      <c r="B33" s="370"/>
      <c r="C33" s="148"/>
      <c r="D33" s="144" t="s">
        <v>270</v>
      </c>
      <c r="E33" s="140">
        <v>140</v>
      </c>
      <c r="F33" s="146">
        <v>1.6</v>
      </c>
      <c r="G33" s="142">
        <f t="shared" si="1"/>
        <v>2.2400000000000002</v>
      </c>
    </row>
    <row r="34" spans="1:7" x14ac:dyDescent="0.2">
      <c r="A34" s="385"/>
      <c r="B34" s="371"/>
      <c r="C34" s="148"/>
      <c r="D34" s="144" t="s">
        <v>271</v>
      </c>
      <c r="E34" s="140">
        <v>110</v>
      </c>
      <c r="F34" s="146">
        <v>93.35</v>
      </c>
      <c r="G34" s="142">
        <f t="shared" si="1"/>
        <v>102.685</v>
      </c>
    </row>
    <row r="35" spans="1:7" x14ac:dyDescent="0.2">
      <c r="A35" s="366" t="s">
        <v>40</v>
      </c>
      <c r="B35" s="147" t="s">
        <v>272</v>
      </c>
      <c r="C35" s="148" t="s">
        <v>41</v>
      </c>
      <c r="D35" s="144" t="s">
        <v>41</v>
      </c>
      <c r="E35" s="140">
        <v>470</v>
      </c>
      <c r="F35" s="146">
        <v>1.2</v>
      </c>
      <c r="G35" s="142">
        <f t="shared" si="1"/>
        <v>5.64</v>
      </c>
    </row>
    <row r="36" spans="1:7" x14ac:dyDescent="0.2">
      <c r="A36" s="367"/>
      <c r="B36" s="147" t="s">
        <v>273</v>
      </c>
      <c r="C36" s="148" t="s">
        <v>41</v>
      </c>
      <c r="D36" s="144" t="s">
        <v>41</v>
      </c>
      <c r="E36" s="140">
        <v>350</v>
      </c>
      <c r="F36" s="146">
        <v>4.883</v>
      </c>
      <c r="G36" s="142">
        <f t="shared" si="1"/>
        <v>17.090499999999999</v>
      </c>
    </row>
    <row r="37" spans="1:7" x14ac:dyDescent="0.2">
      <c r="A37" s="149" t="s">
        <v>44</v>
      </c>
      <c r="B37" s="150"/>
      <c r="C37" s="151"/>
      <c r="D37" s="152"/>
      <c r="E37" s="153">
        <f>SUM(E27:E31)+E35</f>
        <v>1230</v>
      </c>
      <c r="F37" s="154"/>
      <c r="G37" s="155">
        <f>SUM(G27:G31)+G35</f>
        <v>177.27899999999997</v>
      </c>
    </row>
    <row r="38" spans="1:7" x14ac:dyDescent="0.2">
      <c r="A38" s="149" t="s">
        <v>45</v>
      </c>
      <c r="B38" s="150"/>
      <c r="C38" s="151"/>
      <c r="D38" s="152"/>
      <c r="E38" s="153">
        <f>SUM(E32:E34)+E36</f>
        <v>760</v>
      </c>
      <c r="F38" s="154"/>
      <c r="G38" s="155">
        <f>SUM(G32:G34)+G36</f>
        <v>122.0155</v>
      </c>
    </row>
    <row r="39" spans="1:7" x14ac:dyDescent="0.2">
      <c r="A39" s="366" t="s">
        <v>34</v>
      </c>
      <c r="B39" s="369" t="s">
        <v>274</v>
      </c>
      <c r="C39" s="372" t="s">
        <v>41</v>
      </c>
      <c r="D39" s="144" t="s">
        <v>268</v>
      </c>
      <c r="E39" s="140">
        <v>260</v>
      </c>
      <c r="F39" s="141"/>
      <c r="G39" s="142">
        <f>E39*F39/100</f>
        <v>0</v>
      </c>
    </row>
    <row r="40" spans="1:7" x14ac:dyDescent="0.2">
      <c r="A40" s="368"/>
      <c r="B40" s="370"/>
      <c r="C40" s="373"/>
      <c r="D40" s="144" t="s">
        <v>270</v>
      </c>
      <c r="E40" s="140">
        <v>220</v>
      </c>
      <c r="F40" s="141"/>
      <c r="G40" s="142">
        <f>E40*F40/100</f>
        <v>0</v>
      </c>
    </row>
    <row r="41" spans="1:7" x14ac:dyDescent="0.2">
      <c r="A41" s="367"/>
      <c r="B41" s="371"/>
      <c r="C41" s="374"/>
      <c r="D41" s="144" t="s">
        <v>271</v>
      </c>
      <c r="E41" s="140">
        <v>150</v>
      </c>
      <c r="F41" s="141"/>
      <c r="G41" s="142">
        <f>E41*F41/100</f>
        <v>0</v>
      </c>
    </row>
    <row r="42" spans="1:7" x14ac:dyDescent="0.2">
      <c r="A42" s="156" t="s">
        <v>40</v>
      </c>
      <c r="B42" s="147" t="s">
        <v>46</v>
      </c>
      <c r="C42" s="148" t="s">
        <v>41</v>
      </c>
      <c r="D42" s="144" t="s">
        <v>41</v>
      </c>
      <c r="E42" s="140">
        <v>270</v>
      </c>
      <c r="F42" s="141"/>
      <c r="G42" s="142">
        <f>E42*F42/100</f>
        <v>0</v>
      </c>
    </row>
    <row r="43" spans="1:7" x14ac:dyDescent="0.2">
      <c r="A43" s="149" t="s">
        <v>47</v>
      </c>
      <c r="B43" s="150"/>
      <c r="C43" s="151"/>
      <c r="D43" s="152"/>
      <c r="E43" s="153">
        <f>SUM(E39:E42)</f>
        <v>900</v>
      </c>
      <c r="F43" s="157"/>
      <c r="G43" s="155">
        <f>SUM(G39:G42)</f>
        <v>0</v>
      </c>
    </row>
    <row r="44" spans="1:7" ht="13.5" customHeight="1" x14ac:dyDescent="0.2">
      <c r="A44" s="375" t="s">
        <v>23</v>
      </c>
      <c r="B44" s="376"/>
      <c r="C44" s="158" t="s">
        <v>0</v>
      </c>
      <c r="D44" s="159"/>
      <c r="E44" s="160"/>
      <c r="F44" s="161">
        <f>F45+F46+F47+F48</f>
        <v>0</v>
      </c>
      <c r="G44" s="162">
        <f>G45+G46+G47+G48</f>
        <v>315.81949999999995</v>
      </c>
    </row>
    <row r="45" spans="1:7" x14ac:dyDescent="0.2">
      <c r="A45" s="377"/>
      <c r="B45" s="378"/>
      <c r="C45" s="163" t="s">
        <v>6</v>
      </c>
      <c r="D45" s="164"/>
      <c r="E45" s="165"/>
      <c r="F45" s="166">
        <f>F26</f>
        <v>0</v>
      </c>
      <c r="G45" s="162">
        <f>G26</f>
        <v>16.525000000000002</v>
      </c>
    </row>
    <row r="46" spans="1:7" x14ac:dyDescent="0.2">
      <c r="A46" s="377"/>
      <c r="B46" s="378"/>
      <c r="C46" s="163" t="s">
        <v>7</v>
      </c>
      <c r="D46" s="167"/>
      <c r="E46" s="165"/>
      <c r="F46" s="166">
        <f>F37</f>
        <v>0</v>
      </c>
      <c r="G46" s="162">
        <f>G37</f>
        <v>177.27899999999997</v>
      </c>
    </row>
    <row r="47" spans="1:7" x14ac:dyDescent="0.2">
      <c r="A47" s="377"/>
      <c r="B47" s="378"/>
      <c r="C47" s="163" t="s">
        <v>8</v>
      </c>
      <c r="D47" s="164"/>
      <c r="E47" s="165"/>
      <c r="F47" s="166">
        <f>F38</f>
        <v>0</v>
      </c>
      <c r="G47" s="162">
        <f>G38</f>
        <v>122.0155</v>
      </c>
    </row>
    <row r="48" spans="1:7" s="173" customFormat="1" ht="26.25" customHeight="1" thickBot="1" x14ac:dyDescent="0.25">
      <c r="A48" s="379"/>
      <c r="B48" s="380"/>
      <c r="C48" s="168" t="s">
        <v>9</v>
      </c>
      <c r="D48" s="169"/>
      <c r="E48" s="170"/>
      <c r="F48" s="171">
        <f>F43</f>
        <v>0</v>
      </c>
      <c r="G48" s="172">
        <f>G43</f>
        <v>0</v>
      </c>
    </row>
    <row r="49" spans="4:7" x14ac:dyDescent="0.2">
      <c r="D49" s="134"/>
      <c r="F49" s="174"/>
      <c r="G49" s="174"/>
    </row>
    <row r="51" spans="4:7" ht="16.5" customHeight="1" x14ac:dyDescent="0.2"/>
    <row r="52" spans="4:7" ht="16.5" customHeight="1" x14ac:dyDescent="0.2"/>
    <row r="53" spans="4:7" ht="34.5" customHeight="1" x14ac:dyDescent="0.2"/>
    <row r="58" spans="4:7" ht="20.25" customHeight="1" x14ac:dyDescent="0.2"/>
    <row r="59" spans="4:7" ht="21.75" customHeight="1" x14ac:dyDescent="0.2"/>
    <row r="60" spans="4:7" ht="21.75" customHeight="1" x14ac:dyDescent="0.2"/>
    <row r="61" spans="4:7" ht="26.25" customHeight="1" x14ac:dyDescent="0.2"/>
    <row r="62" spans="4:7" ht="49.5" customHeight="1" x14ac:dyDescent="0.2"/>
    <row r="63" spans="4:7" ht="27.75" customHeight="1" x14ac:dyDescent="0.2"/>
  </sheetData>
  <protectedRanges>
    <protectedRange sqref="F8:F43" name="Диапазон1_1_1"/>
  </protectedRanges>
  <mergeCells count="30">
    <mergeCell ref="A44:B48"/>
    <mergeCell ref="C22:C23"/>
    <mergeCell ref="A24:A25"/>
    <mergeCell ref="A27:A34"/>
    <mergeCell ref="B27:B31"/>
    <mergeCell ref="C27:C29"/>
    <mergeCell ref="C30:C31"/>
    <mergeCell ref="B32:B34"/>
    <mergeCell ref="A8:A23"/>
    <mergeCell ref="B8:B9"/>
    <mergeCell ref="B10:B13"/>
    <mergeCell ref="C10:C11"/>
    <mergeCell ref="C12:C13"/>
    <mergeCell ref="B14:B18"/>
    <mergeCell ref="C14:C16"/>
    <mergeCell ref="C17:C18"/>
    <mergeCell ref="A35:A36"/>
    <mergeCell ref="A39:A41"/>
    <mergeCell ref="B39:B41"/>
    <mergeCell ref="C39:C41"/>
    <mergeCell ref="B19:B23"/>
    <mergeCell ref="C19:C21"/>
    <mergeCell ref="F1:G1"/>
    <mergeCell ref="A2:G2"/>
    <mergeCell ref="A3:G3"/>
    <mergeCell ref="A5:A7"/>
    <mergeCell ref="B5:B7"/>
    <mergeCell ref="C5:C7"/>
    <mergeCell ref="D5:D7"/>
    <mergeCell ref="E5:G5"/>
  </mergeCells>
  <dataValidations count="1">
    <dataValidation type="decimal" allowBlank="1" showInputMessage="1" showErrorMessage="1" error="Ввведеное значение неверно" sqref="E14:E43 E45:F48 F8:F43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G59"/>
  <sheetViews>
    <sheetView tabSelected="1" topLeftCell="A31" zoomScaleNormal="100" zoomScaleSheetLayoutView="75" workbookViewId="0">
      <pane xSplit="2" topLeftCell="C1" activePane="topRight" state="frozen"/>
      <selection activeCell="C1" sqref="C1:D1"/>
      <selection pane="topRight" activeCell="E57" sqref="E57"/>
    </sheetView>
  </sheetViews>
  <sheetFormatPr defaultColWidth="9.140625" defaultRowHeight="12.75" x14ac:dyDescent="0.2"/>
  <cols>
    <col min="1" max="1" width="12.28515625" style="179" customWidth="1"/>
    <col min="2" max="2" width="16.5703125" style="217" customWidth="1"/>
    <col min="3" max="3" width="14" style="217" customWidth="1"/>
    <col min="4" max="4" width="12.7109375" style="179" customWidth="1"/>
    <col min="5" max="5" width="26.42578125" style="179" customWidth="1"/>
    <col min="6" max="16384" width="9.140625" style="179"/>
  </cols>
  <sheetData>
    <row r="1" spans="1:7" ht="20.25" x14ac:dyDescent="0.3">
      <c r="A1" s="176"/>
      <c r="B1" s="176"/>
      <c r="C1" s="176"/>
      <c r="D1" s="176"/>
      <c r="E1" s="177" t="s">
        <v>275</v>
      </c>
      <c r="F1" s="178"/>
      <c r="G1" s="178"/>
    </row>
    <row r="2" spans="1:7" ht="66" customHeight="1" x14ac:dyDescent="0.2">
      <c r="A2" s="394" t="s">
        <v>276</v>
      </c>
      <c r="B2" s="395"/>
      <c r="C2" s="395"/>
      <c r="D2" s="395"/>
      <c r="E2" s="395"/>
      <c r="F2" s="180"/>
      <c r="G2" s="180"/>
    </row>
    <row r="3" spans="1:7" ht="15.75" x14ac:dyDescent="0.2">
      <c r="A3" s="353" t="str">
        <f>'П 2.1'!A3:G3</f>
        <v>ОАО "КузбассЭлектро"</v>
      </c>
      <c r="B3" s="353"/>
      <c r="C3" s="353"/>
      <c r="D3" s="353"/>
      <c r="E3" s="353"/>
      <c r="F3" s="181"/>
      <c r="G3" s="181"/>
    </row>
    <row r="4" spans="1:7" ht="13.5" thickBot="1" x14ac:dyDescent="0.25">
      <c r="B4" s="182"/>
      <c r="C4" s="182"/>
      <c r="F4" s="183"/>
      <c r="G4" s="183"/>
    </row>
    <row r="5" spans="1:7" ht="16.5" customHeight="1" x14ac:dyDescent="0.2">
      <c r="A5" s="396" t="s">
        <v>48</v>
      </c>
      <c r="B5" s="398" t="s">
        <v>26</v>
      </c>
      <c r="C5" s="363" t="str">
        <f>'П 2.1'!E5</f>
        <v>2018 год</v>
      </c>
      <c r="D5" s="364"/>
      <c r="E5" s="365"/>
      <c r="F5" s="184"/>
      <c r="G5" s="185"/>
    </row>
    <row r="6" spans="1:7" ht="69" customHeight="1" thickBot="1" x14ac:dyDescent="0.25">
      <c r="A6" s="397"/>
      <c r="B6" s="399"/>
      <c r="C6" s="186" t="s">
        <v>49</v>
      </c>
      <c r="D6" s="187" t="s">
        <v>50</v>
      </c>
      <c r="E6" s="188" t="s">
        <v>30</v>
      </c>
      <c r="F6" s="189"/>
    </row>
    <row r="7" spans="1:7" x14ac:dyDescent="0.2">
      <c r="A7" s="400" t="s">
        <v>51</v>
      </c>
      <c r="B7" s="190" t="s">
        <v>35</v>
      </c>
      <c r="C7" s="218">
        <v>500</v>
      </c>
      <c r="D7" s="191"/>
      <c r="E7" s="192">
        <f t="shared" ref="E7:E46" si="0">C7*D7</f>
        <v>0</v>
      </c>
      <c r="F7" s="193"/>
    </row>
    <row r="8" spans="1:7" s="196" customFormat="1" x14ac:dyDescent="0.2">
      <c r="A8" s="400"/>
      <c r="B8" s="194">
        <v>330</v>
      </c>
      <c r="C8" s="140">
        <v>250</v>
      </c>
      <c r="D8" s="191"/>
      <c r="E8" s="195">
        <f t="shared" si="0"/>
        <v>0</v>
      </c>
      <c r="F8" s="193"/>
    </row>
    <row r="9" spans="1:7" x14ac:dyDescent="0.2">
      <c r="A9" s="400"/>
      <c r="B9" s="197">
        <v>220</v>
      </c>
      <c r="C9" s="140">
        <v>210</v>
      </c>
      <c r="D9" s="191"/>
      <c r="E9" s="195">
        <f t="shared" si="0"/>
        <v>0</v>
      </c>
      <c r="F9" s="198"/>
      <c r="G9" s="198"/>
    </row>
    <row r="10" spans="1:7" x14ac:dyDescent="0.2">
      <c r="A10" s="400"/>
      <c r="B10" s="199" t="s">
        <v>39</v>
      </c>
      <c r="C10" s="140">
        <v>105</v>
      </c>
      <c r="D10" s="191">
        <v>6</v>
      </c>
      <c r="E10" s="195">
        <f t="shared" si="0"/>
        <v>630</v>
      </c>
      <c r="F10" s="198"/>
      <c r="G10" s="198"/>
    </row>
    <row r="11" spans="1:7" ht="11.25" customHeight="1" x14ac:dyDescent="0.2">
      <c r="A11" s="400"/>
      <c r="B11" s="200">
        <v>35</v>
      </c>
      <c r="C11" s="140">
        <v>75</v>
      </c>
      <c r="D11" s="191">
        <v>25</v>
      </c>
      <c r="E11" s="195">
        <f t="shared" si="0"/>
        <v>1875</v>
      </c>
      <c r="F11" s="198"/>
      <c r="G11" s="198"/>
    </row>
    <row r="12" spans="1:7" ht="13.5" customHeight="1" x14ac:dyDescent="0.2">
      <c r="A12" s="400" t="s">
        <v>52</v>
      </c>
      <c r="B12" s="200">
        <v>1150</v>
      </c>
      <c r="C12" s="140"/>
      <c r="D12" s="191"/>
      <c r="E12" s="195">
        <f t="shared" si="0"/>
        <v>0</v>
      </c>
      <c r="F12" s="201"/>
      <c r="G12" s="198"/>
    </row>
    <row r="13" spans="1:7" ht="12.75" customHeight="1" x14ac:dyDescent="0.2">
      <c r="A13" s="400"/>
      <c r="B13" s="200">
        <v>750</v>
      </c>
      <c r="C13" s="140"/>
      <c r="D13" s="191"/>
      <c r="E13" s="195">
        <f t="shared" si="0"/>
        <v>0</v>
      </c>
      <c r="F13" s="198"/>
      <c r="G13" s="198"/>
    </row>
    <row r="14" spans="1:7" s="204" customFormat="1" ht="12" customHeight="1" x14ac:dyDescent="0.2">
      <c r="A14" s="400"/>
      <c r="B14" s="200" t="s">
        <v>35</v>
      </c>
      <c r="C14" s="140">
        <v>28</v>
      </c>
      <c r="D14" s="191"/>
      <c r="E14" s="195">
        <f t="shared" si="0"/>
        <v>0</v>
      </c>
      <c r="F14" s="202"/>
      <c r="G14" s="203"/>
    </row>
    <row r="15" spans="1:7" x14ac:dyDescent="0.2">
      <c r="A15" s="400"/>
      <c r="B15" s="200">
        <v>330</v>
      </c>
      <c r="C15" s="140">
        <v>18</v>
      </c>
      <c r="D15" s="191"/>
      <c r="E15" s="195">
        <f t="shared" si="0"/>
        <v>0</v>
      </c>
      <c r="F15" s="205"/>
      <c r="G15" s="205"/>
    </row>
    <row r="16" spans="1:7" x14ac:dyDescent="0.2">
      <c r="A16" s="400"/>
      <c r="B16" s="200">
        <v>220</v>
      </c>
      <c r="C16" s="140">
        <v>14</v>
      </c>
      <c r="D16" s="191"/>
      <c r="E16" s="195">
        <f t="shared" si="0"/>
        <v>0</v>
      </c>
    </row>
    <row r="17" spans="1:5" x14ac:dyDescent="0.2">
      <c r="A17" s="400"/>
      <c r="B17" s="200" t="s">
        <v>39</v>
      </c>
      <c r="C17" s="140">
        <v>7.8</v>
      </c>
      <c r="D17" s="191">
        <v>11</v>
      </c>
      <c r="E17" s="195">
        <f t="shared" si="0"/>
        <v>85.8</v>
      </c>
    </row>
    <row r="18" spans="1:5" x14ac:dyDescent="0.2">
      <c r="A18" s="400"/>
      <c r="B18" s="200">
        <v>35</v>
      </c>
      <c r="C18" s="140">
        <v>2.1</v>
      </c>
      <c r="D18" s="191">
        <v>59</v>
      </c>
      <c r="E18" s="195">
        <f t="shared" si="0"/>
        <v>123.9</v>
      </c>
    </row>
    <row r="19" spans="1:5" x14ac:dyDescent="0.2">
      <c r="A19" s="400"/>
      <c r="B19" s="206" t="s">
        <v>43</v>
      </c>
      <c r="C19" s="140">
        <v>1</v>
      </c>
      <c r="D19" s="191">
        <v>49</v>
      </c>
      <c r="E19" s="195">
        <f t="shared" si="0"/>
        <v>49</v>
      </c>
    </row>
    <row r="20" spans="1:5" x14ac:dyDescent="0.2">
      <c r="A20" s="400" t="s">
        <v>53</v>
      </c>
      <c r="B20" s="200">
        <v>1150</v>
      </c>
      <c r="C20" s="140"/>
      <c r="D20" s="191"/>
      <c r="E20" s="195">
        <f t="shared" si="0"/>
        <v>0</v>
      </c>
    </row>
    <row r="21" spans="1:5" x14ac:dyDescent="0.2">
      <c r="A21" s="400"/>
      <c r="B21" s="200">
        <v>750</v>
      </c>
      <c r="C21" s="140"/>
      <c r="D21" s="191"/>
      <c r="E21" s="195">
        <f t="shared" si="0"/>
        <v>0</v>
      </c>
    </row>
    <row r="22" spans="1:5" x14ac:dyDescent="0.2">
      <c r="A22" s="400"/>
      <c r="B22" s="200" t="s">
        <v>35</v>
      </c>
      <c r="C22" s="140">
        <v>88</v>
      </c>
      <c r="D22" s="191"/>
      <c r="E22" s="195">
        <f t="shared" si="0"/>
        <v>0</v>
      </c>
    </row>
    <row r="23" spans="1:5" x14ac:dyDescent="0.2">
      <c r="A23" s="400"/>
      <c r="B23" s="200">
        <v>330</v>
      </c>
      <c r="C23" s="140">
        <v>66</v>
      </c>
      <c r="D23" s="191"/>
      <c r="E23" s="195">
        <f t="shared" si="0"/>
        <v>0</v>
      </c>
    </row>
    <row r="24" spans="1:5" x14ac:dyDescent="0.2">
      <c r="A24" s="400"/>
      <c r="B24" s="200">
        <v>220</v>
      </c>
      <c r="C24" s="140">
        <v>43</v>
      </c>
      <c r="D24" s="191"/>
      <c r="E24" s="195">
        <f t="shared" si="0"/>
        <v>0</v>
      </c>
    </row>
    <row r="25" spans="1:5" x14ac:dyDescent="0.2">
      <c r="A25" s="400"/>
      <c r="B25" s="200" t="s">
        <v>39</v>
      </c>
      <c r="C25" s="140">
        <v>26</v>
      </c>
      <c r="D25" s="191"/>
      <c r="E25" s="195">
        <f t="shared" si="0"/>
        <v>0</v>
      </c>
    </row>
    <row r="26" spans="1:5" x14ac:dyDescent="0.2">
      <c r="A26" s="400"/>
      <c r="B26" s="200">
        <v>35</v>
      </c>
      <c r="C26" s="140">
        <v>11</v>
      </c>
      <c r="D26" s="191"/>
      <c r="E26" s="195">
        <f t="shared" si="0"/>
        <v>0</v>
      </c>
    </row>
    <row r="27" spans="1:5" x14ac:dyDescent="0.2">
      <c r="A27" s="400"/>
      <c r="B27" s="206" t="s">
        <v>43</v>
      </c>
      <c r="C27" s="140">
        <v>5.5</v>
      </c>
      <c r="D27" s="191"/>
      <c r="E27" s="195">
        <f t="shared" si="0"/>
        <v>0</v>
      </c>
    </row>
    <row r="28" spans="1:5" x14ac:dyDescent="0.2">
      <c r="A28" s="400" t="s">
        <v>54</v>
      </c>
      <c r="B28" s="200">
        <v>220</v>
      </c>
      <c r="C28" s="140">
        <v>23</v>
      </c>
      <c r="D28" s="191"/>
      <c r="E28" s="195">
        <f t="shared" si="0"/>
        <v>0</v>
      </c>
    </row>
    <row r="29" spans="1:5" x14ac:dyDescent="0.2">
      <c r="A29" s="400"/>
      <c r="B29" s="200" t="s">
        <v>39</v>
      </c>
      <c r="C29" s="140">
        <v>14</v>
      </c>
      <c r="D29" s="191">
        <v>11</v>
      </c>
      <c r="E29" s="195">
        <f t="shared" si="0"/>
        <v>154</v>
      </c>
    </row>
    <row r="30" spans="1:5" x14ac:dyDescent="0.2">
      <c r="A30" s="400"/>
      <c r="B30" s="200">
        <v>35</v>
      </c>
      <c r="C30" s="140">
        <v>6.4</v>
      </c>
      <c r="D30" s="191">
        <v>65</v>
      </c>
      <c r="E30" s="195">
        <f t="shared" si="0"/>
        <v>416</v>
      </c>
    </row>
    <row r="31" spans="1:5" x14ac:dyDescent="0.2">
      <c r="A31" s="400"/>
      <c r="B31" s="206" t="s">
        <v>43</v>
      </c>
      <c r="C31" s="140">
        <v>3.1</v>
      </c>
      <c r="D31" s="191">
        <v>512</v>
      </c>
      <c r="E31" s="195">
        <f t="shared" si="0"/>
        <v>1587.2</v>
      </c>
    </row>
    <row r="32" spans="1:5" x14ac:dyDescent="0.2">
      <c r="A32" s="400" t="s">
        <v>52</v>
      </c>
      <c r="B32" s="200" t="s">
        <v>35</v>
      </c>
      <c r="C32" s="140">
        <v>35</v>
      </c>
      <c r="D32" s="191"/>
      <c r="E32" s="195">
        <f t="shared" si="0"/>
        <v>0</v>
      </c>
    </row>
    <row r="33" spans="1:5" x14ac:dyDescent="0.2">
      <c r="A33" s="400"/>
      <c r="B33" s="200">
        <v>330</v>
      </c>
      <c r="C33" s="140">
        <v>24</v>
      </c>
      <c r="D33" s="191"/>
      <c r="E33" s="195">
        <f t="shared" si="0"/>
        <v>0</v>
      </c>
    </row>
    <row r="34" spans="1:5" x14ac:dyDescent="0.2">
      <c r="A34" s="400"/>
      <c r="B34" s="200">
        <v>220</v>
      </c>
      <c r="C34" s="140">
        <v>19</v>
      </c>
      <c r="D34" s="191"/>
      <c r="E34" s="195">
        <f t="shared" si="0"/>
        <v>0</v>
      </c>
    </row>
    <row r="35" spans="1:5" x14ac:dyDescent="0.2">
      <c r="A35" s="400"/>
      <c r="B35" s="200" t="s">
        <v>39</v>
      </c>
      <c r="C35" s="140">
        <v>9.5</v>
      </c>
      <c r="D35" s="191"/>
      <c r="E35" s="195">
        <f t="shared" si="0"/>
        <v>0</v>
      </c>
    </row>
    <row r="36" spans="1:5" x14ac:dyDescent="0.2">
      <c r="A36" s="400"/>
      <c r="B36" s="200">
        <v>35</v>
      </c>
      <c r="C36" s="140">
        <v>4.7</v>
      </c>
      <c r="D36" s="191">
        <v>4</v>
      </c>
      <c r="E36" s="195">
        <f t="shared" si="0"/>
        <v>18.8</v>
      </c>
    </row>
    <row r="37" spans="1:5" x14ac:dyDescent="0.2">
      <c r="A37" s="207" t="s">
        <v>54</v>
      </c>
      <c r="B37" s="206" t="s">
        <v>43</v>
      </c>
      <c r="C37" s="140">
        <v>2.2999999999999998</v>
      </c>
      <c r="D37" s="191">
        <v>11</v>
      </c>
      <c r="E37" s="195">
        <f t="shared" si="0"/>
        <v>25.299999999999997</v>
      </c>
    </row>
    <row r="38" spans="1:5" x14ac:dyDescent="0.2">
      <c r="A38" s="207" t="s">
        <v>54</v>
      </c>
      <c r="B38" s="206" t="s">
        <v>43</v>
      </c>
      <c r="C38" s="140">
        <v>26</v>
      </c>
      <c r="D38" s="191"/>
      <c r="E38" s="195">
        <f t="shared" si="0"/>
        <v>0</v>
      </c>
    </row>
    <row r="39" spans="1:5" x14ac:dyDescent="0.2">
      <c r="A39" s="207" t="s">
        <v>54</v>
      </c>
      <c r="B39" s="206" t="s">
        <v>43</v>
      </c>
      <c r="C39" s="140">
        <v>48</v>
      </c>
      <c r="D39" s="191"/>
      <c r="E39" s="195">
        <f t="shared" si="0"/>
        <v>0</v>
      </c>
    </row>
    <row r="40" spans="1:5" ht="13.5" customHeight="1" x14ac:dyDescent="0.2">
      <c r="A40" s="392" t="s">
        <v>55</v>
      </c>
      <c r="B40" s="200" t="s">
        <v>39</v>
      </c>
      <c r="C40" s="140">
        <v>2.4</v>
      </c>
      <c r="D40" s="191"/>
      <c r="E40" s="195">
        <f t="shared" si="0"/>
        <v>0</v>
      </c>
    </row>
    <row r="41" spans="1:5" x14ac:dyDescent="0.2">
      <c r="A41" s="392"/>
      <c r="B41" s="200">
        <v>35</v>
      </c>
      <c r="C41" s="140">
        <v>2.4</v>
      </c>
      <c r="D41" s="191"/>
      <c r="E41" s="195">
        <f t="shared" si="0"/>
        <v>0</v>
      </c>
    </row>
    <row r="42" spans="1:5" x14ac:dyDescent="0.2">
      <c r="A42" s="392"/>
      <c r="B42" s="206" t="s">
        <v>43</v>
      </c>
      <c r="C42" s="140">
        <v>2.4</v>
      </c>
      <c r="D42" s="191">
        <v>1.72</v>
      </c>
      <c r="E42" s="195">
        <f t="shared" si="0"/>
        <v>4.1280000000000001</v>
      </c>
    </row>
    <row r="43" spans="1:5" x14ac:dyDescent="0.2">
      <c r="A43" s="207" t="s">
        <v>56</v>
      </c>
      <c r="B43" s="206" t="s">
        <v>43</v>
      </c>
      <c r="C43" s="140">
        <v>2.5</v>
      </c>
      <c r="D43" s="191">
        <v>4</v>
      </c>
      <c r="E43" s="195">
        <f t="shared" si="0"/>
        <v>10</v>
      </c>
    </row>
    <row r="44" spans="1:5" ht="26.25" customHeight="1" x14ac:dyDescent="0.2">
      <c r="A44" s="207" t="s">
        <v>57</v>
      </c>
      <c r="B44" s="206" t="s">
        <v>43</v>
      </c>
      <c r="C44" s="140">
        <v>2.2999999999999998</v>
      </c>
      <c r="D44" s="191">
        <v>16</v>
      </c>
      <c r="E44" s="195">
        <f t="shared" si="0"/>
        <v>36.799999999999997</v>
      </c>
    </row>
    <row r="45" spans="1:5" x14ac:dyDescent="0.2">
      <c r="A45" s="207" t="s">
        <v>57</v>
      </c>
      <c r="B45" s="206" t="s">
        <v>43</v>
      </c>
      <c r="C45" s="140">
        <v>3</v>
      </c>
      <c r="D45" s="191">
        <v>3</v>
      </c>
      <c r="E45" s="195">
        <f t="shared" si="0"/>
        <v>9</v>
      </c>
    </row>
    <row r="46" spans="1:5" x14ac:dyDescent="0.2">
      <c r="A46" s="207" t="s">
        <v>51</v>
      </c>
      <c r="B46" s="200">
        <v>35</v>
      </c>
      <c r="C46" s="140">
        <v>3.5</v>
      </c>
      <c r="D46" s="191"/>
      <c r="E46" s="195">
        <f t="shared" si="0"/>
        <v>0</v>
      </c>
    </row>
    <row r="47" spans="1:5" ht="16.5" customHeight="1" x14ac:dyDescent="0.2">
      <c r="A47" s="392"/>
      <c r="B47" s="208" t="s">
        <v>0</v>
      </c>
      <c r="C47" s="209"/>
      <c r="D47" s="210">
        <f>D48+D49+D50+D51</f>
        <v>777.72</v>
      </c>
      <c r="E47" s="211">
        <f>E48+E49+E50+E51</f>
        <v>5024.9279999999999</v>
      </c>
    </row>
    <row r="48" spans="1:5" ht="16.5" customHeight="1" x14ac:dyDescent="0.2">
      <c r="A48" s="392"/>
      <c r="B48" s="212" t="s">
        <v>6</v>
      </c>
      <c r="C48" s="219"/>
      <c r="D48" s="213">
        <f>D35+D34+D29+D28+D25+D24+D17+D16+D10+D9+D40</f>
        <v>28</v>
      </c>
      <c r="E48" s="211">
        <f>E35+E34+E29+E28+E25+E24+E17+E16+E10+E9+E40</f>
        <v>869.8</v>
      </c>
    </row>
    <row r="49" spans="1:5" ht="34.5" customHeight="1" x14ac:dyDescent="0.2">
      <c r="A49" s="392"/>
      <c r="B49" s="212" t="s">
        <v>7</v>
      </c>
      <c r="C49" s="219"/>
      <c r="D49" s="213">
        <f>D11+D18+D26+D30+D36+D41+D46</f>
        <v>153</v>
      </c>
      <c r="E49" s="211">
        <f>E11+E18+E26+E30+E36+E41+E46</f>
        <v>2433.7000000000003</v>
      </c>
    </row>
    <row r="50" spans="1:5" x14ac:dyDescent="0.2">
      <c r="A50" s="392"/>
      <c r="B50" s="212" t="s">
        <v>8</v>
      </c>
      <c r="C50" s="219"/>
      <c r="D50" s="213">
        <f>D19+D27+D31+D37+D38+D39+D42+D43+D44+D45</f>
        <v>596.72</v>
      </c>
      <c r="E50" s="211">
        <f>E19+E27+E31+E37+E38+E39+E42+E43+E44+E45</f>
        <v>1721.4279999999999</v>
      </c>
    </row>
    <row r="51" spans="1:5" ht="13.5" thickBot="1" x14ac:dyDescent="0.25">
      <c r="A51" s="393"/>
      <c r="B51" s="214" t="s">
        <v>9</v>
      </c>
      <c r="C51" s="220"/>
      <c r="D51" s="215">
        <f>SUM(D9:D46) - D48-D49-D50</f>
        <v>0</v>
      </c>
      <c r="E51" s="216">
        <f>SUM(E9:E46) - E48-E49-E50</f>
        <v>0</v>
      </c>
    </row>
    <row r="54" spans="1:5" ht="20.25" customHeight="1" x14ac:dyDescent="0.2"/>
    <row r="55" spans="1:5" ht="21.75" customHeight="1" x14ac:dyDescent="0.2"/>
    <row r="56" spans="1:5" ht="21.75" customHeight="1" x14ac:dyDescent="0.2"/>
    <row r="57" spans="1:5" ht="26.25" customHeight="1" x14ac:dyDescent="0.2"/>
    <row r="58" spans="1:5" ht="49.5" customHeight="1" x14ac:dyDescent="0.2"/>
    <row r="59" spans="1:5" ht="27.75" customHeight="1" x14ac:dyDescent="0.2"/>
  </sheetData>
  <protectedRanges>
    <protectedRange sqref="E7:E39" name="Диапазон1_1_1_1"/>
  </protectedRanges>
  <mergeCells count="12">
    <mergeCell ref="A47:A51"/>
    <mergeCell ref="A2:E2"/>
    <mergeCell ref="A3:E3"/>
    <mergeCell ref="A5:A6"/>
    <mergeCell ref="B5:B6"/>
    <mergeCell ref="C5:E5"/>
    <mergeCell ref="A7:A11"/>
    <mergeCell ref="A12:A19"/>
    <mergeCell ref="A20:A27"/>
    <mergeCell ref="A28:A31"/>
    <mergeCell ref="A32:A36"/>
    <mergeCell ref="A40:A42"/>
  </mergeCells>
  <dataValidations count="1">
    <dataValidation type="decimal" allowBlank="1" showInputMessage="1" showErrorMessage="1" error="Ввведеное значение неверно" sqref="C9:C51 D7:D51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П1.4</vt:lpstr>
      <vt:lpstr>П1.5</vt:lpstr>
      <vt:lpstr>П1.6</vt:lpstr>
      <vt:lpstr>П1.30 </vt:lpstr>
      <vt:lpstr>П 2.1</vt:lpstr>
      <vt:lpstr>П2.2</vt:lpstr>
      <vt:lpstr>'П 2.1'!Заголовки_для_печати</vt:lpstr>
      <vt:lpstr>'П1.30 '!Заголовки_для_печати</vt:lpstr>
      <vt:lpstr>П1.4!Заголовки_для_печати</vt:lpstr>
      <vt:lpstr>П1.5!Заголовки_для_печати</vt:lpstr>
      <vt:lpstr>П1.6!Заголовки_для_печати</vt:lpstr>
      <vt:lpstr>П2.2!Заголовки_для_печати</vt:lpstr>
      <vt:lpstr>'П 2.1'!Область_печати</vt:lpstr>
      <vt:lpstr>'П1.30 '!Область_печати</vt:lpstr>
      <vt:lpstr>П1.4!Область_печати</vt:lpstr>
      <vt:lpstr>П2.2!Область_печати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Oxae</dc:creator>
  <cp:lastModifiedBy>User</cp:lastModifiedBy>
  <cp:lastPrinted>2019-01-31T06:32:39Z</cp:lastPrinted>
  <dcterms:created xsi:type="dcterms:W3CDTF">2015-11-25T12:55:18Z</dcterms:created>
  <dcterms:modified xsi:type="dcterms:W3CDTF">2019-03-07T04:55:33Z</dcterms:modified>
</cp:coreProperties>
</file>