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5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П2.1!$A$3:$G$57</definedName>
    <definedName name="Z_31E4AD08_B536_461B_968A_A35FD04F3581_.wvu.PrintTitles" localSheetId="5" hidden="1">'П 2.2'!$C:$D</definedName>
    <definedName name="Z_31E4AD08_B536_461B_968A_A35FD04F3581_.wvu.PrintTitles" localSheetId="4" hidden="1">П2.1!$A:$B</definedName>
    <definedName name="Z_31E4AD08_B536_461B_968A_A35FD04F3581_.wvu.Rows" localSheetId="5" hidden="1">'П 2.2'!$21:$21</definedName>
    <definedName name="Z_31E4AD08_B536_461B_968A_A35FD04F3581_.wvu.Rows" localSheetId="4" hidden="1">П2.1!$24:$24</definedName>
    <definedName name="Z_54D2BE98_848D_4F9C_B0F7_738E90419FBF_.wvu.Cols" localSheetId="4" hidden="1">П2.1!$D:$G</definedName>
    <definedName name="Z_54D2BE98_848D_4F9C_B0F7_738E90419FBF_.wvu.PrintArea" localSheetId="5" hidden="1">'П 2.2'!$C$3:$K$54</definedName>
    <definedName name="Z_54D2BE98_848D_4F9C_B0F7_738E90419FBF_.wvu.PrintArea" localSheetId="4" hidden="1">П2.1!$A$3:$G$57</definedName>
    <definedName name="Z_54D2BE98_848D_4F9C_B0F7_738E90419FBF_.wvu.PrintTitles" localSheetId="5" hidden="1">'П 2.2'!$C:$D</definedName>
    <definedName name="Z_54D2BE98_848D_4F9C_B0F7_738E90419FBF_.wvu.PrintTitles" localSheetId="4" hidden="1">П2.1!$A:$B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4">П2.1!$A:$B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'!$A$1:$N$157</definedName>
    <definedName name="_xlnm.Print_Area" localSheetId="0">П1.4!$A$1:$R$35</definedName>
    <definedName name="_xlnm.Print_Area" localSheetId="4">П2.1!$A$3:$G$50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35" l="1"/>
  <c r="F114" i="35"/>
  <c r="F118" i="35"/>
  <c r="F122" i="35"/>
  <c r="P30" i="33"/>
  <c r="O30" i="33"/>
  <c r="N29" i="33"/>
  <c r="L123" i="36"/>
  <c r="L97" i="36"/>
  <c r="L130" i="36"/>
  <c r="Q7" i="34"/>
  <c r="P7" i="34"/>
  <c r="L89" i="36"/>
  <c r="P11" i="34"/>
  <c r="L73" i="36"/>
  <c r="N35" i="34"/>
  <c r="N16" i="34"/>
  <c r="O19" i="34"/>
  <c r="K122" i="35"/>
  <c r="N29" i="34"/>
  <c r="I126" i="35"/>
  <c r="K124" i="35"/>
  <c r="Q16" i="34"/>
  <c r="P20" i="34"/>
  <c r="Q21" i="34"/>
  <c r="P18" i="34"/>
  <c r="Q18" i="34"/>
  <c r="O35" i="34"/>
  <c r="L12" i="36"/>
  <c r="H12" i="36"/>
  <c r="D12" i="36"/>
  <c r="I113" i="35"/>
  <c r="I108" i="35"/>
  <c r="I122" i="35"/>
  <c r="I109" i="35"/>
  <c r="H109" i="35" s="1"/>
  <c r="J103" i="35"/>
  <c r="J109" i="35"/>
  <c r="K109" i="35"/>
  <c r="K98" i="35"/>
  <c r="I98" i="35"/>
  <c r="K102" i="35"/>
  <c r="J122" i="35"/>
  <c r="I103" i="35" l="1"/>
  <c r="H98" i="35"/>
  <c r="K95" i="35"/>
  <c r="K112" i="35"/>
  <c r="M33" i="35"/>
  <c r="N22" i="34"/>
  <c r="N18" i="34"/>
  <c r="L13" i="36" s="1"/>
  <c r="I32" i="34"/>
  <c r="N32" i="34" l="1"/>
  <c r="P29" i="34"/>
  <c r="K132" i="36"/>
  <c r="H132" i="36"/>
  <c r="G132" i="36"/>
  <c r="C132" i="36"/>
  <c r="H26" i="36"/>
  <c r="G26" i="36"/>
  <c r="D26" i="36"/>
  <c r="D132" i="36" s="1"/>
  <c r="C26" i="36"/>
  <c r="J121" i="35"/>
  <c r="H121" i="35" s="1"/>
  <c r="E121" i="35"/>
  <c r="C121" i="35" s="1"/>
  <c r="H78" i="35"/>
  <c r="C78" i="35"/>
  <c r="H35" i="35"/>
  <c r="M35" i="35" s="1"/>
  <c r="C35" i="35"/>
  <c r="M121" i="35" l="1"/>
  <c r="M78" i="35"/>
  <c r="B81" i="35"/>
  <c r="B124" i="35" s="1"/>
  <c r="D110" i="35"/>
  <c r="E111" i="35"/>
  <c r="D112" i="35"/>
  <c r="E112" i="35"/>
  <c r="N7" i="36" l="1"/>
  <c r="J7" i="36"/>
  <c r="K118" i="35" l="1"/>
  <c r="O22" i="34"/>
  <c r="D114" i="35"/>
  <c r="D115" i="35"/>
  <c r="H28" i="36" l="1"/>
  <c r="H85" i="36" s="1"/>
  <c r="G28" i="36"/>
  <c r="G85" i="36" s="1"/>
  <c r="D28" i="36"/>
  <c r="C28" i="36"/>
  <c r="C85" i="36" s="1"/>
  <c r="H16" i="36"/>
  <c r="H15" i="36"/>
  <c r="H14" i="36"/>
  <c r="D16" i="36"/>
  <c r="D15" i="36"/>
  <c r="D14" i="36"/>
  <c r="D85" i="36" l="1"/>
  <c r="J127" i="35" l="1"/>
  <c r="D126" i="35"/>
  <c r="C83" i="35"/>
  <c r="H83" i="35"/>
  <c r="C40" i="35"/>
  <c r="H40" i="35"/>
  <c r="D116" i="35"/>
  <c r="I115" i="35"/>
  <c r="I116" i="35"/>
  <c r="I112" i="35"/>
  <c r="O26" i="34"/>
  <c r="P16" i="34"/>
  <c r="Q28" i="34"/>
  <c r="Q35" i="34"/>
  <c r="Q29" i="34" s="1"/>
  <c r="O18" i="34"/>
  <c r="M40" i="35" l="1"/>
  <c r="M83" i="35"/>
  <c r="H126" i="35"/>
  <c r="L28" i="36" s="1"/>
  <c r="L85" i="36" s="1"/>
  <c r="I123" i="35"/>
  <c r="C126" i="35"/>
  <c r="D123" i="35"/>
  <c r="L16" i="34"/>
  <c r="K16" i="34"/>
  <c r="I130" i="35" l="1"/>
  <c r="M126" i="35"/>
  <c r="Q12" i="34"/>
  <c r="I110" i="35"/>
  <c r="I120" i="35" l="1"/>
  <c r="H68" i="35"/>
  <c r="H25" i="35"/>
  <c r="J111" i="35"/>
  <c r="H111" i="35" s="1"/>
  <c r="H76" i="35"/>
  <c r="H33" i="35"/>
  <c r="J125" i="35"/>
  <c r="L26" i="36"/>
  <c r="L132" i="36" s="1"/>
  <c r="J98" i="35"/>
  <c r="N27" i="34"/>
  <c r="J123" i="35" l="1"/>
  <c r="N26" i="34"/>
  <c r="J119" i="35"/>
  <c r="H119" i="35" s="1"/>
  <c r="E119" i="35"/>
  <c r="C119" i="35" s="1"/>
  <c r="C76" i="35"/>
  <c r="M76" i="35" s="1"/>
  <c r="M119" i="35" l="1"/>
  <c r="E98" i="35"/>
  <c r="C111" i="35" l="1"/>
  <c r="M111" i="35" s="1"/>
  <c r="C68" i="35"/>
  <c r="M68" i="35" s="1"/>
  <c r="C25" i="35"/>
  <c r="M25" i="35" s="1"/>
  <c r="C33" i="35"/>
  <c r="C36" i="36" l="1"/>
  <c r="E127" i="35"/>
  <c r="D120" i="35"/>
  <c r="C120" i="35" s="1"/>
  <c r="H120" i="35"/>
  <c r="C77" i="35"/>
  <c r="H77" i="35"/>
  <c r="H41" i="35"/>
  <c r="D35" i="36" s="1"/>
  <c r="C41" i="35"/>
  <c r="C34" i="35"/>
  <c r="H34" i="35"/>
  <c r="M34" i="35" s="1"/>
  <c r="M41" i="35" l="1"/>
  <c r="M77" i="35"/>
  <c r="C35" i="36"/>
  <c r="M120" i="35"/>
  <c r="B69" i="35"/>
  <c r="B112" i="35" s="1"/>
  <c r="F53" i="40" l="1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F46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A5" i="39"/>
  <c r="N17" i="34"/>
  <c r="N19" i="34"/>
  <c r="L14" i="36" s="1"/>
  <c r="N20" i="34"/>
  <c r="L16" i="36" s="1"/>
  <c r="N21" i="34"/>
  <c r="L15" i="36" s="1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G28" i="39" l="1"/>
  <c r="G47" i="39" s="1"/>
  <c r="G45" i="39"/>
  <c r="G50" i="39" s="1"/>
  <c r="N18" i="33"/>
  <c r="G53" i="40"/>
  <c r="G51" i="40"/>
  <c r="G52" i="40"/>
  <c r="F54" i="40"/>
  <c r="F50" i="40" s="1"/>
  <c r="G40" i="39"/>
  <c r="G49" i="39" s="1"/>
  <c r="G39" i="39"/>
  <c r="G48" i="39" s="1"/>
  <c r="L72" i="36"/>
  <c r="H23" i="35"/>
  <c r="I118" i="35"/>
  <c r="H118" i="35" s="1"/>
  <c r="K114" i="35"/>
  <c r="I114" i="35"/>
  <c r="H28" i="35"/>
  <c r="G54" i="40" l="1"/>
  <c r="G50" i="40" s="1"/>
  <c r="G46" i="39"/>
  <c r="K108" i="35" l="1"/>
  <c r="J112" i="35"/>
  <c r="J108" i="35" s="1"/>
  <c r="J27" i="35"/>
  <c r="K27" i="35"/>
  <c r="I27" i="35"/>
  <c r="I117" i="35"/>
  <c r="T8" i="34" l="1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8" i="34"/>
  <c r="U28" i="34"/>
  <c r="V28" i="34"/>
  <c r="T31" i="34"/>
  <c r="U31" i="34"/>
  <c r="V31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S8" i="34"/>
  <c r="S9" i="34"/>
  <c r="S10" i="34"/>
  <c r="S11" i="34"/>
  <c r="S12" i="34"/>
  <c r="S13" i="34"/>
  <c r="S14" i="34"/>
  <c r="S15" i="34"/>
  <c r="S24" i="34"/>
  <c r="S25" i="34"/>
  <c r="S31" i="34"/>
  <c r="S33" i="34"/>
  <c r="S34" i="34"/>
  <c r="D32" i="34"/>
  <c r="F29" i="34"/>
  <c r="E29" i="34"/>
  <c r="C116" i="35" l="1"/>
  <c r="D117" i="35"/>
  <c r="C117" i="35" s="1"/>
  <c r="D118" i="35"/>
  <c r="E118" i="35"/>
  <c r="D122" i="35"/>
  <c r="E122" i="35"/>
  <c r="E109" i="35"/>
  <c r="E108" i="35" s="1"/>
  <c r="F109" i="35"/>
  <c r="F108" i="35" s="1"/>
  <c r="H122" i="35"/>
  <c r="H117" i="35"/>
  <c r="H116" i="35"/>
  <c r="H115" i="35"/>
  <c r="C115" i="35"/>
  <c r="H79" i="35"/>
  <c r="C79" i="35"/>
  <c r="H75" i="35"/>
  <c r="C75" i="35"/>
  <c r="H74" i="35"/>
  <c r="C74" i="35"/>
  <c r="H73" i="35"/>
  <c r="C73" i="35"/>
  <c r="H72" i="35"/>
  <c r="C72" i="35"/>
  <c r="H29" i="35"/>
  <c r="C29" i="35"/>
  <c r="E113" i="35" l="1"/>
  <c r="C118" i="35"/>
  <c r="M118" i="35" s="1"/>
  <c r="C122" i="35"/>
  <c r="M122" i="35" s="1"/>
  <c r="F113" i="35"/>
  <c r="M79" i="35"/>
  <c r="M75" i="35"/>
  <c r="M117" i="35"/>
  <c r="M74" i="35"/>
  <c r="M116" i="35"/>
  <c r="M73" i="35"/>
  <c r="M115" i="35"/>
  <c r="M72" i="35"/>
  <c r="M29" i="35"/>
  <c r="H112" i="35"/>
  <c r="C32" i="35" l="1"/>
  <c r="H32" i="35"/>
  <c r="M32" i="35" l="1"/>
  <c r="I70" i="35"/>
  <c r="J113" i="35"/>
  <c r="J130" i="35" s="1"/>
  <c r="K113" i="35"/>
  <c r="K103" i="35" s="1"/>
  <c r="H103" i="35" s="1"/>
  <c r="J70" i="35"/>
  <c r="K70" i="35"/>
  <c r="K52" i="35"/>
  <c r="K9" i="35"/>
  <c r="H12" i="35"/>
  <c r="H55" i="35"/>
  <c r="E27" i="35"/>
  <c r="E70" i="35"/>
  <c r="F27" i="35"/>
  <c r="D27" i="35"/>
  <c r="F70" i="35"/>
  <c r="D70" i="35"/>
  <c r="F52" i="35"/>
  <c r="F9" i="35"/>
  <c r="C55" i="35"/>
  <c r="C12" i="35"/>
  <c r="F97" i="35"/>
  <c r="H113" i="35" l="1"/>
  <c r="B128" i="35"/>
  <c r="J95" i="35" l="1"/>
  <c r="H56" i="35"/>
  <c r="H13" i="35"/>
  <c r="C13" i="35"/>
  <c r="C56" i="35"/>
  <c r="J52" i="35"/>
  <c r="E52" i="35"/>
  <c r="J9" i="35"/>
  <c r="E9" i="35"/>
  <c r="P30" i="34" l="1"/>
  <c r="L79" i="36"/>
  <c r="L87" i="36" l="1"/>
  <c r="H87" i="36"/>
  <c r="D87" i="36"/>
  <c r="L106" i="36"/>
  <c r="H106" i="36"/>
  <c r="D106" i="36"/>
  <c r="L83" i="36"/>
  <c r="H83" i="36"/>
  <c r="D83" i="36"/>
  <c r="H79" i="36"/>
  <c r="D79" i="36"/>
  <c r="K80" i="35" l="1"/>
  <c r="J80" i="35"/>
  <c r="I80" i="35"/>
  <c r="E80" i="35"/>
  <c r="F80" i="35"/>
  <c r="D80" i="35"/>
  <c r="K65" i="35"/>
  <c r="J65" i="35"/>
  <c r="I65" i="35"/>
  <c r="F65" i="35"/>
  <c r="F60" i="35" s="1"/>
  <c r="E65" i="35"/>
  <c r="D65" i="35"/>
  <c r="K22" i="35"/>
  <c r="K17" i="35" s="1"/>
  <c r="J22" i="35"/>
  <c r="I22" i="35"/>
  <c r="K37" i="35"/>
  <c r="J37" i="35"/>
  <c r="I37" i="35"/>
  <c r="E22" i="35"/>
  <c r="F22" i="35"/>
  <c r="D22" i="35"/>
  <c r="E37" i="35"/>
  <c r="F37" i="35"/>
  <c r="D37" i="35"/>
  <c r="K123" i="35"/>
  <c r="H86" i="35"/>
  <c r="H123" i="35" l="1"/>
  <c r="H130" i="35" s="1"/>
  <c r="K130" i="35"/>
  <c r="D17" i="35"/>
  <c r="H65" i="35"/>
  <c r="H70" i="35"/>
  <c r="K11" i="34"/>
  <c r="F11" i="34"/>
  <c r="U11" i="34" l="1"/>
  <c r="D28" i="33"/>
  <c r="G87" i="36"/>
  <c r="G83" i="36"/>
  <c r="D136" i="36"/>
  <c r="C136" i="36"/>
  <c r="C87" i="36"/>
  <c r="G106" i="36"/>
  <c r="C106" i="36"/>
  <c r="G79" i="36"/>
  <c r="C79" i="36"/>
  <c r="C83" i="36"/>
  <c r="C86" i="35" l="1"/>
  <c r="K11" i="33"/>
  <c r="F11" i="33"/>
  <c r="E95" i="35" l="1"/>
  <c r="O23" i="34"/>
  <c r="J23" i="34"/>
  <c r="E23" i="34"/>
  <c r="T23" i="34" l="1"/>
  <c r="P26" i="34" l="1"/>
  <c r="P27" i="34" s="1"/>
  <c r="Q26" i="34"/>
  <c r="Q27" i="34" s="1"/>
  <c r="O27" i="34"/>
  <c r="K26" i="34"/>
  <c r="K27" i="34" s="1"/>
  <c r="L26" i="34"/>
  <c r="L27" i="34" s="1"/>
  <c r="J26" i="34"/>
  <c r="J27" i="34" s="1"/>
  <c r="F26" i="34"/>
  <c r="G26" i="34"/>
  <c r="E26" i="34"/>
  <c r="E27" i="34" l="1"/>
  <c r="T27" i="34" s="1"/>
  <c r="T26" i="34"/>
  <c r="G27" i="34"/>
  <c r="V27" i="34" s="1"/>
  <c r="V26" i="34"/>
  <c r="F27" i="34"/>
  <c r="U27" i="34" s="1"/>
  <c r="U26" i="34"/>
  <c r="I16" i="33"/>
  <c r="D16" i="33"/>
  <c r="D7" i="33" s="1"/>
  <c r="C10" i="36" s="1"/>
  <c r="L26" i="33"/>
  <c r="L27" i="33" s="1"/>
  <c r="K26" i="33"/>
  <c r="K27" i="33" s="1"/>
  <c r="J26" i="33"/>
  <c r="F26" i="33"/>
  <c r="G26" i="33"/>
  <c r="E26" i="33"/>
  <c r="I26" i="33" l="1"/>
  <c r="J27" i="33"/>
  <c r="I27" i="33" s="1"/>
  <c r="I7" i="33"/>
  <c r="G10" i="36" s="1"/>
  <c r="K8" i="33"/>
  <c r="K7" i="33"/>
  <c r="J7" i="33"/>
  <c r="J23" i="33" s="1"/>
  <c r="F7" i="33"/>
  <c r="F8" i="33"/>
  <c r="E7" i="33"/>
  <c r="E23" i="33" s="1"/>
  <c r="I34" i="33"/>
  <c r="I32" i="33"/>
  <c r="D34" i="33"/>
  <c r="D32" i="33"/>
  <c r="I22" i="33"/>
  <c r="I23" i="33" s="1"/>
  <c r="D22" i="33"/>
  <c r="D23" i="33" s="1"/>
  <c r="K29" i="33"/>
  <c r="L29" i="33"/>
  <c r="J29" i="33"/>
  <c r="F29" i="33"/>
  <c r="G29" i="33"/>
  <c r="E29" i="33"/>
  <c r="F27" i="33"/>
  <c r="G27" i="33"/>
  <c r="E27" i="33"/>
  <c r="G76" i="36" l="1"/>
  <c r="D29" i="33"/>
  <c r="O29" i="33"/>
  <c r="F23" i="33"/>
  <c r="G12" i="33"/>
  <c r="I29" i="33"/>
  <c r="L12" i="33"/>
  <c r="K23" i="33"/>
  <c r="G7" i="33" l="1"/>
  <c r="G23" i="33" s="1"/>
  <c r="G8" i="33"/>
  <c r="L8" i="33"/>
  <c r="L7" i="33"/>
  <c r="L23" i="33" s="1"/>
  <c r="B1" i="34"/>
  <c r="I3" i="35" l="1"/>
  <c r="L129" i="36"/>
  <c r="L126" i="36"/>
  <c r="L104" i="36"/>
  <c r="L103" i="36"/>
  <c r="L100" i="36"/>
  <c r="L78" i="36"/>
  <c r="L75" i="36"/>
  <c r="K134" i="36"/>
  <c r="K120" i="36"/>
  <c r="K108" i="36"/>
  <c r="K106" i="36"/>
  <c r="K94" i="36"/>
  <c r="K83" i="36"/>
  <c r="K81" i="36"/>
  <c r="K69" i="36"/>
  <c r="K32" i="36"/>
  <c r="K30" i="36"/>
  <c r="K28" i="36"/>
  <c r="K85" i="36" s="1"/>
  <c r="K24" i="36"/>
  <c r="K13" i="36"/>
  <c r="K14" i="36"/>
  <c r="K15" i="36"/>
  <c r="K16" i="36"/>
  <c r="K12" i="36"/>
  <c r="L124" i="36"/>
  <c r="L135" i="36" s="1"/>
  <c r="L98" i="36"/>
  <c r="L109" i="36" s="1"/>
  <c r="L74" i="36"/>
  <c r="L86" i="36" s="1"/>
  <c r="L33" i="36"/>
  <c r="L31" i="36"/>
  <c r="L29" i="36"/>
  <c r="H129" i="36"/>
  <c r="H126" i="36"/>
  <c r="H104" i="36"/>
  <c r="H103" i="36"/>
  <c r="H100" i="36"/>
  <c r="H78" i="36"/>
  <c r="H75" i="36"/>
  <c r="G136" i="36"/>
  <c r="G129" i="36"/>
  <c r="G126" i="36"/>
  <c r="G118" i="36"/>
  <c r="G121" i="36" s="1"/>
  <c r="G104" i="36"/>
  <c r="G103" i="36"/>
  <c r="G101" i="36"/>
  <c r="G100" i="36"/>
  <c r="G92" i="36"/>
  <c r="G78" i="36"/>
  <c r="G75" i="36"/>
  <c r="G67" i="36"/>
  <c r="I28" i="33"/>
  <c r="G37" i="36" s="1"/>
  <c r="G21" i="36"/>
  <c r="G18" i="36"/>
  <c r="H124" i="36"/>
  <c r="H135" i="36" s="1"/>
  <c r="G124" i="36"/>
  <c r="G135" i="36" s="1"/>
  <c r="H98" i="36"/>
  <c r="H109" i="36" s="1"/>
  <c r="G98" i="36"/>
  <c r="G109" i="36" s="1"/>
  <c r="H74" i="36"/>
  <c r="H86" i="36" s="1"/>
  <c r="G74" i="36"/>
  <c r="G86" i="36" s="1"/>
  <c r="G72" i="36"/>
  <c r="G82" i="36" s="1"/>
  <c r="H33" i="36"/>
  <c r="G33" i="36"/>
  <c r="H31" i="36"/>
  <c r="G31" i="36"/>
  <c r="H29" i="36"/>
  <c r="G29" i="36"/>
  <c r="G25" i="36"/>
  <c r="G7" i="36"/>
  <c r="D129" i="36"/>
  <c r="D126" i="36"/>
  <c r="D104" i="36"/>
  <c r="D103" i="36"/>
  <c r="D100" i="36"/>
  <c r="D75" i="36"/>
  <c r="D78" i="36"/>
  <c r="D124" i="36"/>
  <c r="D135" i="36" s="1"/>
  <c r="D98" i="36"/>
  <c r="D109" i="36" s="1"/>
  <c r="D74" i="36"/>
  <c r="D33" i="36"/>
  <c r="D31" i="36"/>
  <c r="D29" i="36"/>
  <c r="C129" i="36"/>
  <c r="C126" i="36"/>
  <c r="C124" i="36"/>
  <c r="C118" i="36"/>
  <c r="C104" i="36"/>
  <c r="C103" i="36"/>
  <c r="K103" i="36" s="1"/>
  <c r="C101" i="36"/>
  <c r="C100" i="36"/>
  <c r="C98" i="36"/>
  <c r="B99" i="36"/>
  <c r="C92" i="36"/>
  <c r="C95" i="36" s="1"/>
  <c r="C78" i="36"/>
  <c r="C76" i="36"/>
  <c r="C75" i="36"/>
  <c r="C74" i="36"/>
  <c r="C72" i="36"/>
  <c r="K72" i="36" s="1"/>
  <c r="B73" i="36"/>
  <c r="B83" i="36" s="1"/>
  <c r="B97" i="36" s="1"/>
  <c r="B106" i="36" s="1"/>
  <c r="B123" i="36" s="1"/>
  <c r="B132" i="36" s="1"/>
  <c r="B74" i="36"/>
  <c r="B72" i="36"/>
  <c r="B81" i="36" s="1"/>
  <c r="C67" i="36"/>
  <c r="C37" i="36"/>
  <c r="B35" i="36"/>
  <c r="B111" i="36" s="1"/>
  <c r="B36" i="36"/>
  <c r="B112" i="36" s="1"/>
  <c r="B34" i="36"/>
  <c r="B110" i="36" s="1"/>
  <c r="C33" i="36"/>
  <c r="B32" i="36"/>
  <c r="B98" i="36" s="1"/>
  <c r="B108" i="36" s="1"/>
  <c r="C31" i="36"/>
  <c r="B30" i="36"/>
  <c r="B124" i="36" s="1"/>
  <c r="B134" i="36" s="1"/>
  <c r="C29" i="36"/>
  <c r="K29" i="36" s="1"/>
  <c r="B28" i="36"/>
  <c r="B26" i="36"/>
  <c r="C25" i="36"/>
  <c r="B24" i="36"/>
  <c r="C22" i="36"/>
  <c r="C21" i="36"/>
  <c r="C18" i="36"/>
  <c r="C7" i="36"/>
  <c r="F102" i="35"/>
  <c r="C102" i="35" s="1"/>
  <c r="C99" i="35"/>
  <c r="E125" i="35"/>
  <c r="E123" i="35" s="1"/>
  <c r="F124" i="35"/>
  <c r="C128" i="35"/>
  <c r="C127" i="35"/>
  <c r="G130" i="35"/>
  <c r="G87" i="35"/>
  <c r="D113" i="35"/>
  <c r="M112" i="35"/>
  <c r="C110" i="35"/>
  <c r="D109" i="35"/>
  <c r="D108" i="35" s="1"/>
  <c r="F98" i="35"/>
  <c r="D98" i="35"/>
  <c r="C97" i="35"/>
  <c r="H128" i="35"/>
  <c r="L36" i="36" s="1"/>
  <c r="L112" i="36" s="1"/>
  <c r="H127" i="35"/>
  <c r="L35" i="36" s="1"/>
  <c r="L111" i="36" s="1"/>
  <c r="H125" i="35"/>
  <c r="L34" i="36" s="1"/>
  <c r="L110" i="36" s="1"/>
  <c r="H124" i="35"/>
  <c r="H36" i="36"/>
  <c r="H112" i="36" s="1"/>
  <c r="G112" i="36"/>
  <c r="H84" i="35"/>
  <c r="H35" i="36" s="1"/>
  <c r="H111" i="36" s="1"/>
  <c r="C84" i="35"/>
  <c r="H82" i="35"/>
  <c r="H34" i="36" s="1"/>
  <c r="H110" i="36" s="1"/>
  <c r="C82" i="35"/>
  <c r="H81" i="35"/>
  <c r="C81" i="35"/>
  <c r="H102" i="35"/>
  <c r="H99" i="35"/>
  <c r="H97" i="35"/>
  <c r="I95" i="35"/>
  <c r="H59" i="35"/>
  <c r="C59" i="35"/>
  <c r="H54" i="35"/>
  <c r="C54" i="35"/>
  <c r="I52" i="35"/>
  <c r="D52" i="35"/>
  <c r="H114" i="35"/>
  <c r="H71" i="35"/>
  <c r="C71" i="35"/>
  <c r="K60" i="35"/>
  <c r="H110" i="35"/>
  <c r="H69" i="35"/>
  <c r="C69" i="35"/>
  <c r="H67" i="35"/>
  <c r="C67" i="35"/>
  <c r="H66" i="35"/>
  <c r="C66" i="35"/>
  <c r="H24" i="35"/>
  <c r="H26" i="35"/>
  <c r="H30" i="35"/>
  <c r="H31" i="35"/>
  <c r="H36" i="35"/>
  <c r="H38" i="35"/>
  <c r="H39" i="35"/>
  <c r="D34" i="36" s="1"/>
  <c r="D110" i="36" s="1"/>
  <c r="H43" i="35"/>
  <c r="C43" i="35"/>
  <c r="C39" i="35"/>
  <c r="C34" i="36" s="1"/>
  <c r="C38" i="35"/>
  <c r="C27" i="36" s="1"/>
  <c r="C26" i="35"/>
  <c r="C24" i="35"/>
  <c r="C23" i="35"/>
  <c r="C28" i="35"/>
  <c r="C30" i="35"/>
  <c r="C31" i="35"/>
  <c r="C36" i="35"/>
  <c r="H16" i="35"/>
  <c r="H11" i="35"/>
  <c r="I9" i="35"/>
  <c r="C16" i="35"/>
  <c r="D9" i="35"/>
  <c r="C11" i="35"/>
  <c r="O7" i="34"/>
  <c r="L67" i="36" s="1"/>
  <c r="L21" i="36"/>
  <c r="O29" i="34"/>
  <c r="N28" i="34"/>
  <c r="L37" i="36" s="1"/>
  <c r="L18" i="36"/>
  <c r="P8" i="34"/>
  <c r="K100" i="36" l="1"/>
  <c r="K31" i="36"/>
  <c r="M16" i="35"/>
  <c r="H95" i="35"/>
  <c r="C124" i="35"/>
  <c r="F123" i="35"/>
  <c r="L99" i="36"/>
  <c r="C9" i="35"/>
  <c r="D44" i="35"/>
  <c r="E30" i="33" s="1"/>
  <c r="M26" i="35"/>
  <c r="C111" i="36"/>
  <c r="D111" i="36"/>
  <c r="D36" i="36"/>
  <c r="D112" i="36" s="1"/>
  <c r="O30" i="34"/>
  <c r="C73" i="36"/>
  <c r="C84" i="36" s="1"/>
  <c r="C109" i="35"/>
  <c r="M109" i="35" s="1"/>
  <c r="C112" i="35"/>
  <c r="F103" i="35"/>
  <c r="F130" i="35" s="1"/>
  <c r="Q30" i="33" s="1"/>
  <c r="N30" i="33" s="1"/>
  <c r="C98" i="35"/>
  <c r="M98" i="35" s="1"/>
  <c r="H52" i="35"/>
  <c r="F95" i="35"/>
  <c r="C52" i="35"/>
  <c r="M24" i="35"/>
  <c r="H9" i="35"/>
  <c r="K33" i="36"/>
  <c r="M12" i="35"/>
  <c r="M59" i="35"/>
  <c r="J17" i="35"/>
  <c r="P23" i="34"/>
  <c r="K98" i="36"/>
  <c r="K124" i="36"/>
  <c r="K7" i="36"/>
  <c r="K18" i="36"/>
  <c r="K101" i="36"/>
  <c r="K104" i="36"/>
  <c r="K76" i="36"/>
  <c r="K79" i="36"/>
  <c r="K74" i="36"/>
  <c r="M127" i="35"/>
  <c r="H80" i="35"/>
  <c r="M102" i="35"/>
  <c r="L92" i="36"/>
  <c r="K21" i="36"/>
  <c r="K78" i="36"/>
  <c r="H27" i="35"/>
  <c r="K25" i="36"/>
  <c r="K10" i="36"/>
  <c r="D60" i="35"/>
  <c r="D87" i="35" s="1"/>
  <c r="J30" i="33" s="1"/>
  <c r="C114" i="35"/>
  <c r="M114" i="35" s="1"/>
  <c r="C27" i="35"/>
  <c r="M28" i="35"/>
  <c r="K75" i="36"/>
  <c r="C135" i="36"/>
  <c r="K135" i="36" s="1"/>
  <c r="K37" i="36"/>
  <c r="C82" i="36"/>
  <c r="K82" i="36" s="1"/>
  <c r="C109" i="36"/>
  <c r="K109" i="36" s="1"/>
  <c r="K118" i="36"/>
  <c r="K129" i="36"/>
  <c r="F17" i="35"/>
  <c r="F44" i="35" s="1"/>
  <c r="G30" i="33" s="1"/>
  <c r="M43" i="35"/>
  <c r="M38" i="35"/>
  <c r="M110" i="35"/>
  <c r="C65" i="35"/>
  <c r="M65" i="35" s="1"/>
  <c r="M81" i="35"/>
  <c r="M82" i="35"/>
  <c r="G34" i="36"/>
  <c r="K34" i="36" s="1"/>
  <c r="M84" i="35"/>
  <c r="G35" i="36"/>
  <c r="K35" i="36" s="1"/>
  <c r="G36" i="36"/>
  <c r="K36" i="36" s="1"/>
  <c r="G110" i="36"/>
  <c r="G111" i="36"/>
  <c r="L22" i="36"/>
  <c r="L101" i="36"/>
  <c r="L76" i="36"/>
  <c r="G130" i="36"/>
  <c r="C112" i="36"/>
  <c r="K112" i="36" s="1"/>
  <c r="C110" i="36"/>
  <c r="L136" i="36"/>
  <c r="C19" i="36"/>
  <c r="C116" i="36"/>
  <c r="C121" i="36"/>
  <c r="K67" i="36"/>
  <c r="K92" i="36"/>
  <c r="K126" i="36"/>
  <c r="L70" i="36"/>
  <c r="G116" i="36"/>
  <c r="G125" i="36" s="1"/>
  <c r="G123" i="36" s="1"/>
  <c r="G133" i="36" s="1"/>
  <c r="G22" i="36"/>
  <c r="K22" i="36" s="1"/>
  <c r="G19" i="36"/>
  <c r="G127" i="36"/>
  <c r="G70" i="36"/>
  <c r="G73" i="36"/>
  <c r="G84" i="36" s="1"/>
  <c r="G95" i="36"/>
  <c r="K95" i="36" s="1"/>
  <c r="C89" i="36"/>
  <c r="C70" i="36"/>
  <c r="M128" i="35"/>
  <c r="M124" i="35"/>
  <c r="H108" i="35"/>
  <c r="I60" i="35"/>
  <c r="K87" i="35"/>
  <c r="M71" i="35"/>
  <c r="J60" i="35"/>
  <c r="M55" i="35"/>
  <c r="F87" i="35"/>
  <c r="L30" i="33" s="1"/>
  <c r="M66" i="35"/>
  <c r="M67" i="35"/>
  <c r="M69" i="35"/>
  <c r="C125" i="35"/>
  <c r="M125" i="35" s="1"/>
  <c r="C80" i="35"/>
  <c r="C70" i="35"/>
  <c r="E60" i="35"/>
  <c r="E87" i="35" s="1"/>
  <c r="K30" i="33" s="1"/>
  <c r="D95" i="35"/>
  <c r="M39" i="35"/>
  <c r="M36" i="35"/>
  <c r="M30" i="35"/>
  <c r="M23" i="35"/>
  <c r="M31" i="35"/>
  <c r="H22" i="35"/>
  <c r="I17" i="35"/>
  <c r="H37" i="35"/>
  <c r="K44" i="35"/>
  <c r="C37" i="35"/>
  <c r="E17" i="35"/>
  <c r="E44" i="35" s="1"/>
  <c r="F30" i="33" s="1"/>
  <c r="C22" i="35"/>
  <c r="I35" i="34"/>
  <c r="L29" i="34"/>
  <c r="K29" i="34"/>
  <c r="U29" i="34" s="1"/>
  <c r="J29" i="34"/>
  <c r="T29" i="34" s="1"/>
  <c r="I28" i="34"/>
  <c r="H37" i="36" s="1"/>
  <c r="H136" i="36" s="1"/>
  <c r="I27" i="34"/>
  <c r="I26" i="34"/>
  <c r="I22" i="34"/>
  <c r="H18" i="36" s="1"/>
  <c r="I16" i="34"/>
  <c r="I7" i="34" s="1"/>
  <c r="H10" i="36" s="1"/>
  <c r="H13" i="36" s="1"/>
  <c r="H27" i="36" s="1"/>
  <c r="K8" i="34"/>
  <c r="K7" i="34"/>
  <c r="K23" i="34" s="1"/>
  <c r="J7" i="34"/>
  <c r="H67" i="36" s="1"/>
  <c r="H89" i="36" s="1"/>
  <c r="H99" i="36" s="1"/>
  <c r="F7" i="34"/>
  <c r="E7" i="34"/>
  <c r="F8" i="34"/>
  <c r="D101" i="36"/>
  <c r="G29" i="34"/>
  <c r="D76" i="36"/>
  <c r="D35" i="34"/>
  <c r="D21" i="36"/>
  <c r="D28" i="34"/>
  <c r="D27" i="34"/>
  <c r="S27" i="34" s="1"/>
  <c r="D26" i="34"/>
  <c r="S26" i="34" s="1"/>
  <c r="D22" i="34"/>
  <c r="D16" i="34"/>
  <c r="D27" i="33"/>
  <c r="D26" i="33"/>
  <c r="Q29" i="33"/>
  <c r="P29" i="33"/>
  <c r="Q22" i="33"/>
  <c r="Q26" i="33" s="1"/>
  <c r="P22" i="33"/>
  <c r="P26" i="33" s="1"/>
  <c r="O22" i="33"/>
  <c r="O26" i="33" s="1"/>
  <c r="Q34" i="33"/>
  <c r="P34" i="33"/>
  <c r="O34" i="33"/>
  <c r="Q32" i="33"/>
  <c r="P32" i="33"/>
  <c r="O32" i="33"/>
  <c r="Q28" i="33"/>
  <c r="O28" i="33"/>
  <c r="Q27" i="33"/>
  <c r="P27" i="33"/>
  <c r="O27" i="33"/>
  <c r="Q16" i="33"/>
  <c r="P16" i="33"/>
  <c r="O16" i="33"/>
  <c r="Q12" i="33"/>
  <c r="Q8" i="33" s="1"/>
  <c r="P11" i="33"/>
  <c r="P8" i="33" s="1"/>
  <c r="L116" i="36" l="1"/>
  <c r="K84" i="36"/>
  <c r="K111" i="36"/>
  <c r="I87" i="35"/>
  <c r="J87" i="35"/>
  <c r="K30" i="34" s="1"/>
  <c r="J44" i="35"/>
  <c r="I44" i="35"/>
  <c r="E30" i="34" s="1"/>
  <c r="S16" i="34"/>
  <c r="H132" i="35"/>
  <c r="D86" i="36"/>
  <c r="C86" i="36"/>
  <c r="K86" i="36" s="1"/>
  <c r="S35" i="34"/>
  <c r="L125" i="36"/>
  <c r="L95" i="36"/>
  <c r="D67" i="36"/>
  <c r="D89" i="36" s="1"/>
  <c r="D99" i="36" s="1"/>
  <c r="T7" i="34"/>
  <c r="D37" i="36"/>
  <c r="S28" i="34"/>
  <c r="V29" i="34"/>
  <c r="U8" i="34"/>
  <c r="F23" i="34"/>
  <c r="U7" i="34"/>
  <c r="H21" i="36"/>
  <c r="S32" i="34"/>
  <c r="D18" i="36"/>
  <c r="S22" i="34"/>
  <c r="H7" i="36"/>
  <c r="C17" i="35"/>
  <c r="C44" i="35" s="1"/>
  <c r="C95" i="35"/>
  <c r="M95" i="35" s="1"/>
  <c r="C108" i="35"/>
  <c r="M108" i="35" s="1"/>
  <c r="H19" i="36"/>
  <c r="M27" i="35"/>
  <c r="M52" i="35"/>
  <c r="N7" i="34"/>
  <c r="L10" i="36" s="1"/>
  <c r="N23" i="34"/>
  <c r="I23" i="34"/>
  <c r="D7" i="34"/>
  <c r="S7" i="34" s="1"/>
  <c r="D23" i="34"/>
  <c r="K87" i="36"/>
  <c r="M9" i="35"/>
  <c r="G30" i="34"/>
  <c r="L30" i="34"/>
  <c r="K110" i="36"/>
  <c r="I132" i="35"/>
  <c r="Q30" i="34"/>
  <c r="N30" i="34" s="1"/>
  <c r="K132" i="35"/>
  <c r="D103" i="35"/>
  <c r="D130" i="35" s="1"/>
  <c r="Q7" i="33"/>
  <c r="Q23" i="33" s="1"/>
  <c r="P7" i="33"/>
  <c r="P23" i="33" s="1"/>
  <c r="N28" i="33"/>
  <c r="N16" i="33"/>
  <c r="O7" i="33"/>
  <c r="O23" i="33" s="1"/>
  <c r="J132" i="35"/>
  <c r="D92" i="36"/>
  <c r="D95" i="36" s="1"/>
  <c r="G12" i="34"/>
  <c r="Q8" i="34"/>
  <c r="H92" i="36"/>
  <c r="H95" i="36" s="1"/>
  <c r="H97" i="36" s="1"/>
  <c r="H107" i="36" s="1"/>
  <c r="L12" i="34"/>
  <c r="I30" i="33"/>
  <c r="D30" i="33"/>
  <c r="E103" i="35"/>
  <c r="E130" i="35" s="1"/>
  <c r="N32" i="33"/>
  <c r="N34" i="33"/>
  <c r="N27" i="33"/>
  <c r="N22" i="33"/>
  <c r="K26" i="36"/>
  <c r="G27" i="36"/>
  <c r="K27" i="36" s="1"/>
  <c r="D22" i="36"/>
  <c r="H76" i="36"/>
  <c r="H22" i="36"/>
  <c r="H101" i="36"/>
  <c r="D70" i="36"/>
  <c r="H70" i="36"/>
  <c r="N26" i="33"/>
  <c r="K73" i="36"/>
  <c r="K121" i="36"/>
  <c r="K19" i="36"/>
  <c r="C127" i="36"/>
  <c r="K70" i="36"/>
  <c r="C99" i="36"/>
  <c r="C125" i="36"/>
  <c r="K125" i="36" s="1"/>
  <c r="K116" i="36"/>
  <c r="K136" i="36"/>
  <c r="G89" i="36"/>
  <c r="G99" i="36" s="1"/>
  <c r="G97" i="36" s="1"/>
  <c r="G107" i="36" s="1"/>
  <c r="C113" i="35"/>
  <c r="M113" i="35" s="1"/>
  <c r="M70" i="35"/>
  <c r="H60" i="35"/>
  <c r="M80" i="35"/>
  <c r="C60" i="35"/>
  <c r="C123" i="35"/>
  <c r="M37" i="35"/>
  <c r="M22" i="35"/>
  <c r="H17" i="35"/>
  <c r="I29" i="34"/>
  <c r="D29" i="34"/>
  <c r="F30" i="34" l="1"/>
  <c r="J30" i="34"/>
  <c r="U23" i="34"/>
  <c r="S23" i="34"/>
  <c r="L19" i="36"/>
  <c r="L27" i="36"/>
  <c r="H87" i="35"/>
  <c r="H44" i="35"/>
  <c r="D97" i="36"/>
  <c r="D107" i="36" s="1"/>
  <c r="L107" i="36"/>
  <c r="S29" i="34"/>
  <c r="V12" i="34"/>
  <c r="V30" i="34"/>
  <c r="H72" i="36"/>
  <c r="H25" i="36"/>
  <c r="D10" i="36"/>
  <c r="D13" i="36" s="1"/>
  <c r="D27" i="36" s="1"/>
  <c r="C103" i="35"/>
  <c r="L7" i="36"/>
  <c r="L118" i="36"/>
  <c r="L121" i="36" s="1"/>
  <c r="Q23" i="34"/>
  <c r="D116" i="36"/>
  <c r="D125" i="36" s="1"/>
  <c r="N23" i="33"/>
  <c r="N7" i="33"/>
  <c r="G8" i="34"/>
  <c r="G7" i="34"/>
  <c r="H116" i="36"/>
  <c r="H125" i="36" s="1"/>
  <c r="L8" i="34"/>
  <c r="L7" i="34"/>
  <c r="K89" i="36"/>
  <c r="C97" i="36"/>
  <c r="K99" i="36"/>
  <c r="K127" i="36"/>
  <c r="C130" i="36"/>
  <c r="K130" i="36" s="1"/>
  <c r="C123" i="36"/>
  <c r="M60" i="35"/>
  <c r="C87" i="35"/>
  <c r="M123" i="35"/>
  <c r="M17" i="35"/>
  <c r="D30" i="34" l="1"/>
  <c r="T30" i="34"/>
  <c r="U30" i="34"/>
  <c r="L127" i="36"/>
  <c r="I30" i="34"/>
  <c r="M87" i="35"/>
  <c r="M44" i="35"/>
  <c r="C130" i="35"/>
  <c r="M130" i="35" s="1"/>
  <c r="M103" i="35"/>
  <c r="V7" i="34"/>
  <c r="V8" i="34"/>
  <c r="D19" i="36"/>
  <c r="H82" i="36"/>
  <c r="H73" i="36"/>
  <c r="H84" i="36" s="1"/>
  <c r="L25" i="36"/>
  <c r="D72" i="36"/>
  <c r="D25" i="36"/>
  <c r="D7" i="36"/>
  <c r="H118" i="36"/>
  <c r="H121" i="36" s="1"/>
  <c r="H127" i="36" s="1"/>
  <c r="H130" i="36" s="1"/>
  <c r="L23" i="34"/>
  <c r="D118" i="36"/>
  <c r="D121" i="36" s="1"/>
  <c r="D127" i="36" s="1"/>
  <c r="D130" i="36" s="1"/>
  <c r="G23" i="34"/>
  <c r="L133" i="36"/>
  <c r="C107" i="36"/>
  <c r="K107" i="36" s="1"/>
  <c r="K97" i="36"/>
  <c r="C133" i="36"/>
  <c r="K133" i="36" s="1"/>
  <c r="K123" i="36"/>
  <c r="B113" i="36"/>
  <c r="B125" i="36" s="1"/>
  <c r="B85" i="36"/>
  <c r="B93" i="35"/>
  <c r="C93" i="35" s="1"/>
  <c r="D93" i="35" s="1"/>
  <c r="E93" i="35" s="1"/>
  <c r="F93" i="35" s="1"/>
  <c r="G93" i="35" s="1"/>
  <c r="H93" i="35" s="1"/>
  <c r="I93" i="35" s="1"/>
  <c r="J93" i="35" s="1"/>
  <c r="K93" i="35" s="1"/>
  <c r="L93" i="35" s="1"/>
  <c r="M93" i="35" s="1"/>
  <c r="N93" i="35" s="1"/>
  <c r="O93" i="35" s="1"/>
  <c r="P93" i="35" s="1"/>
  <c r="Q93" i="35" s="1"/>
  <c r="R93" i="35" s="1"/>
  <c r="S93" i="35" s="1"/>
  <c r="T93" i="35" s="1"/>
  <c r="U93" i="35" s="1"/>
  <c r="V93" i="35" s="1"/>
  <c r="W93" i="35" s="1"/>
  <c r="B50" i="35"/>
  <c r="C50" i="35" s="1"/>
  <c r="D50" i="35" s="1"/>
  <c r="E50" i="35" s="1"/>
  <c r="F50" i="35" s="1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S50" i="35" s="1"/>
  <c r="T50" i="35" s="1"/>
  <c r="U50" i="35" s="1"/>
  <c r="V50" i="35" s="1"/>
  <c r="W50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1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S30" i="34" l="1"/>
  <c r="V23" i="34"/>
  <c r="D82" i="36"/>
  <c r="D73" i="36"/>
  <c r="D84" i="36" s="1"/>
  <c r="L82" i="36"/>
  <c r="L84" i="36"/>
  <c r="H123" i="36"/>
  <c r="H133" i="36" s="1"/>
  <c r="D123" i="36"/>
  <c r="D133" i="36" s="1"/>
  <c r="G5" i="36"/>
  <c r="K5" i="36"/>
  <c r="A94" i="35"/>
</calcChain>
</file>

<file path=xl/sharedStrings.xml><?xml version="1.0" encoding="utf-8"?>
<sst xmlns="http://schemas.openxmlformats.org/spreadsheetml/2006/main" count="820" uniqueCount="349">
  <si>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</si>
  <si>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</si>
  <si>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</si>
  <si>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</si>
  <si>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</si>
  <si>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</si>
  <si>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</si>
  <si>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</si>
  <si>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</si>
  <si>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</si>
  <si>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</si>
  <si>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</si>
  <si>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</si>
  <si>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</si>
  <si>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</si>
  <si>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</si>
  <si>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</si>
  <si>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</si>
  <si>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</si>
  <si>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</si>
  <si>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</si>
  <si>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</si>
  <si>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</si>
  <si>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</si>
  <si>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</si>
  <si>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</si>
  <si>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</si>
  <si>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</si>
  <si>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</si>
  <si>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</si>
  <si>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</si>
  <si>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</si>
  <si>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</si>
  <si>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</si>
  <si>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</si>
  <si>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</si>
  <si>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</si>
  <si>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</si>
  <si>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</si>
  <si>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</si>
  <si>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</si>
  <si>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</si>
  <si>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</si>
  <si>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</si>
  <si>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</si>
  <si>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</si>
  <si>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</si>
  <si>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</si>
  <si>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</si>
  <si>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</si>
  <si>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</si>
  <si>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</si>
  <si>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</si>
  <si>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</si>
  <si>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</si>
  <si>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</si>
  <si>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</si>
  <si>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</si>
  <si>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</si>
  <si>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</si>
  <si>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</si>
  <si>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</si>
  <si>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</si>
  <si>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</si>
  <si>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</si>
  <si>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</si>
  <si>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</si>
  <si>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</si>
  <si>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</si>
  <si>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</si>
  <si>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</si>
  <si>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</si>
  <si>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</si>
  <si>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</si>
  <si>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</si>
  <si>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</si>
  <si>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</si>
  <si>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</si>
  <si>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</si>
  <si>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</si>
  <si>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</si>
  <si>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</si>
  <si>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</si>
  <si>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</si>
  <si>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</si>
  <si>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</si>
  <si>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</si>
  <si>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</si>
  <si>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</si>
  <si>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</si>
  <si>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</si>
  <si>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</si>
  <si>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</si>
  <si>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</si>
  <si>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</si>
  <si>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</si>
  <si>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</si>
  <si>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</si>
  <si>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</si>
  <si>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</si>
  <si>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</si>
  <si>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</si>
  <si>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</si>
  <si>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</si>
  <si>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</si>
  <si>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</si>
  <si>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</si>
  <si>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</si>
  <si>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</si>
  <si>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</si>
  <si>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</si>
  <si>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</si>
  <si>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</si>
  <si>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</si>
  <si>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</si>
  <si>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</si>
  <si>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</si>
  <si>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</si>
  <si>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</si>
  <si>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</si>
  <si>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</si>
  <si>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</si>
  <si>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</si>
  <si>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</si>
  <si>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</si>
  <si>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</si>
  <si>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</si>
  <si>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</si>
  <si>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</si>
  <si>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</si>
  <si>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</si>
  <si>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</si>
  <si>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</si>
  <si>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</si>
  <si>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</si>
  <si>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</si>
  <si>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</si>
  <si>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</si>
  <si>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</si>
  <si>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</si>
  <si>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</si>
  <si>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</si>
  <si>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</si>
  <si>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</si>
  <si>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</si>
  <si>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</si>
  <si>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</si>
  <si>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</si>
  <si>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</si>
  <si>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</si>
  <si>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</si>
  <si>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</si>
  <si>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</si>
  <si>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</si>
  <si>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</si>
  <si>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</si>
  <si>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</si>
  <si>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</si>
  <si>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</si>
  <si>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</si>
  <si>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</si>
  <si>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</si>
  <si>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</si>
  <si>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</si>
  <si>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</si>
  <si>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</si>
  <si>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</si>
  <si>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</si>
  <si>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</si>
  <si>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</si>
  <si>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</si>
  <si>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</si>
  <si>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</si>
  <si>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</si>
  <si>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</si>
  <si>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</si>
  <si>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</si>
  <si>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</si>
  <si>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</si>
  <si>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</si>
  <si>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</si>
  <si>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</si>
  <si>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</si>
  <si>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</si>
  <si>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</si>
  <si>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</si>
  <si>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</si>
  <si>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</si>
  <si>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</si>
  <si>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</si>
  <si>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</si>
  <si>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</si>
  <si>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</si>
  <si>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</si>
  <si>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</si>
  <si>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</si>
  <si>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</si>
  <si>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</si>
  <si>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</si>
  <si>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</si>
  <si>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</si>
  <si>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</si>
  <si>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</si>
  <si>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</si>
  <si>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</si>
  <si>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</si>
  <si>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</si>
  <si>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</si>
  <si>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</si>
  <si>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</si>
  <si>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</si>
  <si>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</si>
  <si>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</si>
  <si>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</si>
  <si>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</si>
  <si>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</si>
  <si>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</si>
  <si>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</si>
  <si>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</si>
  <si>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</si>
  <si>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</si>
  <si>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</si>
  <si>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</si>
  <si>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</si>
  <si>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</si>
  <si>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</si>
  <si>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</si>
  <si>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</si>
  <si>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</si>
  <si>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</si>
  <si>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</si>
  <si>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</si>
  <si>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</si>
  <si>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</si>
  <si>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</si>
  <si>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</si>
  <si>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</si>
  <si>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</si>
  <si>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</si>
  <si>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</si>
  <si>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</si>
  <si>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</si>
  <si>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</si>
  <si>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</si>
  <si>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</si>
  <si>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</si>
  <si>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</si>
  <si>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</si>
  <si>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</si>
  <si>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</si>
  <si>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</si>
  <si>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</si>
  <si>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</si>
  <si>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</si>
  <si>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</si>
  <si>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</si>
  <si>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</si>
  <si>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</si>
  <si>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</si>
  <si>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</si>
  <si>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</si>
  <si>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</si>
  <si>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</si>
  <si>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</si>
  <si>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</si>
  <si>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</si>
  <si>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</si>
  <si>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</si>
  <si>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</si>
  <si>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</si>
  <si>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</si>
  <si>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</si>
  <si>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</si>
  <si>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</si>
  <si>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</si>
  <si>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</si>
  <si>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</si>
  <si>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</si>
  <si>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</si>
  <si>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</si>
  <si>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</si>
  <si>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</si>
  <si>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</si>
  <si>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</si>
  <si>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</si>
  <si>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</si>
  <si>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</si>
  <si>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</si>
  <si>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</si>
  <si>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</si>
  <si>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</si>
  <si>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</si>
  <si>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</si>
  <si>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</si>
  <si>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</si>
  <si>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</si>
  <si>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</si>
  <si>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</si>
  <si>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14.2.4</t>
  </si>
  <si>
    <t>14.2.5</t>
  </si>
  <si>
    <t>14.2.6</t>
  </si>
  <si>
    <t>Таблица П 1.5</t>
  </si>
  <si>
    <t>Таблица П1.4</t>
  </si>
  <si>
    <t>3.2.11</t>
  </si>
  <si>
    <t>ООО "КЭнК"</t>
  </si>
  <si>
    <t>ПАО "ФСК ЕЭС"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</si>
  <si>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</si>
  <si>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</si>
  <si>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</si>
  <si>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</si>
  <si>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</si>
  <si>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</si>
  <si>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</si>
  <si>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</si>
  <si>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</si>
  <si>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</si>
  <si>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</si>
  <si>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</si>
  <si>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</si>
  <si>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</si>
  <si>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</si>
  <si>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</si>
  <si>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</si>
  <si>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</si>
  <si>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</si>
  <si>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</si>
  <si>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</si>
  <si>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</si>
  <si>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</si>
  <si>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</si>
  <si>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</si>
  <si>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</si>
  <si>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</si>
  <si>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</si>
  <si>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</si>
  <si>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</si>
  <si>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</si>
  <si>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</si>
  <si>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ЗАО "ЭПК"</t>
  </si>
  <si>
    <t>Потребители ПАО "Кузбассэнергосбыт"</t>
  </si>
  <si>
    <t>АО "Система"</t>
  </si>
  <si>
    <t>ООО "Ресурс"</t>
  </si>
  <si>
    <t>1 полугодие 2020г. ФАКТ</t>
  </si>
  <si>
    <t>2 полугодие 2020г. ФАКТ</t>
  </si>
  <si>
    <t>2020 год ФАКТ</t>
  </si>
  <si>
    <t>ПАО "Россети Сибирь" - "Кузбассэнерго - РЭС"</t>
  </si>
  <si>
    <t>ПАО "Россети Сибирь"-"Кузбассэнерго-РЭС"</t>
  </si>
  <si>
    <t>Отпуск (передача) электроэнергии территориальной сетевой организацией за 2020 год</t>
  </si>
  <si>
    <t>Факт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</si>
</sst>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_([$€-2]* #,##0.00_);_([$€-2]* \(#,##0.00\);_([$€-2]* &quot;-&quot;??_)"/>
    <numFmt numFmtId="174" formatCode="_-* #,##0.00\ _₽_-;\-* #,##0.00\ _₽_-;_-* &quot;-&quot;??\ _₽_-;_-@_-"/>
    <numFmt numFmtId="175" formatCode="_-* #,##0.00\ _р_у_б_._-;\-* #,##0.00\ _р_у_б_._-;_-* &quot;-&quot;??\ _р_у_б_._-;_-@_-"/>
  </numFmts>
  <fonts count="8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1" fillId="0" borderId="30" applyBorder="0">
      <alignment horizontal="center" vertical="center" wrapText="1"/>
    </xf>
    <xf numFmtId="4" fontId="13" fillId="3" borderId="1" applyBorder="0">
      <alignment horizontal="right"/>
    </xf>
    <xf numFmtId="4" fontId="6" fillId="2" borderId="0" applyFont="0" applyBorder="0">
      <alignment horizontal="right"/>
    </xf>
    <xf numFmtId="4" fontId="13" fillId="4" borderId="5" applyBorder="0">
      <alignment horizontal="right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57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3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3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9" borderId="0" applyNumberFormat="0" applyBorder="0" applyAlignment="0" applyProtection="0"/>
    <xf numFmtId="0" fontId="23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3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3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3" fillId="2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22" borderId="0" applyNumberFormat="0" applyBorder="0" applyAlignment="0" applyProtection="0"/>
    <xf numFmtId="0" fontId="25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9" borderId="0" applyNumberFormat="0" applyBorder="0" applyAlignment="0" applyProtection="0"/>
    <xf numFmtId="0" fontId="25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0" fontId="25" fillId="11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5" fillId="14" borderId="0" applyNumberFormat="0" applyBorder="0" applyAlignment="0" applyProtection="0"/>
    <xf numFmtId="0" fontId="24" fillId="25" borderId="0" applyNumberFormat="0" applyBorder="0" applyAlignment="0" applyProtection="0"/>
    <xf numFmtId="0" fontId="24" fillId="7" borderId="0" applyNumberFormat="0" applyBorder="0" applyAlignment="0" applyProtection="0"/>
    <xf numFmtId="0" fontId="25" fillId="9" borderId="0" applyNumberFormat="0" applyBorder="0" applyAlignment="0" applyProtection="0"/>
    <xf numFmtId="0" fontId="24" fillId="7" borderId="0" applyNumberFormat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8" fillId="0" borderId="0"/>
    <xf numFmtId="0" fontId="19" fillId="0" borderId="0"/>
    <xf numFmtId="0" fontId="29" fillId="0" borderId="0"/>
    <xf numFmtId="0" fontId="30" fillId="0" borderId="0"/>
    <xf numFmtId="0" fontId="31" fillId="0" borderId="0"/>
    <xf numFmtId="0" fontId="32" fillId="0" borderId="0" applyNumberFormat="0">
      <alignment horizontal="left"/>
    </xf>
    <xf numFmtId="4" fontId="33" fillId="3" borderId="58" applyNumberFormat="0" applyProtection="0">
      <alignment vertical="center"/>
    </xf>
    <xf numFmtId="4" fontId="34" fillId="3" borderId="58" applyNumberFormat="0" applyProtection="0">
      <alignment vertical="center"/>
    </xf>
    <xf numFmtId="4" fontId="33" fillId="3" borderId="58" applyNumberFormat="0" applyProtection="0">
      <alignment horizontal="left" vertical="center" indent="1"/>
    </xf>
    <xf numFmtId="4" fontId="33" fillId="3" borderId="58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4" fontId="33" fillId="27" borderId="58" applyNumberFormat="0" applyProtection="0">
      <alignment horizontal="right" vertical="center"/>
    </xf>
    <xf numFmtId="4" fontId="33" fillId="28" borderId="58" applyNumberFormat="0" applyProtection="0">
      <alignment horizontal="right" vertical="center"/>
    </xf>
    <xf numFmtId="4" fontId="33" fillId="29" borderId="58" applyNumberFormat="0" applyProtection="0">
      <alignment horizontal="right" vertical="center"/>
    </xf>
    <xf numFmtId="4" fontId="33" fillId="30" borderId="58" applyNumberFormat="0" applyProtection="0">
      <alignment horizontal="right" vertical="center"/>
    </xf>
    <xf numFmtId="4" fontId="33" fillId="31" borderId="58" applyNumberFormat="0" applyProtection="0">
      <alignment horizontal="right" vertical="center"/>
    </xf>
    <xf numFmtId="4" fontId="33" fillId="32" borderId="58" applyNumberFormat="0" applyProtection="0">
      <alignment horizontal="right" vertical="center"/>
    </xf>
    <xf numFmtId="4" fontId="33" fillId="33" borderId="58" applyNumberFormat="0" applyProtection="0">
      <alignment horizontal="right" vertical="center"/>
    </xf>
    <xf numFmtId="4" fontId="33" fillId="34" borderId="58" applyNumberFormat="0" applyProtection="0">
      <alignment horizontal="right" vertical="center"/>
    </xf>
    <xf numFmtId="4" fontId="33" fillId="35" borderId="58" applyNumberFormat="0" applyProtection="0">
      <alignment horizontal="right" vertical="center"/>
    </xf>
    <xf numFmtId="4" fontId="35" fillId="36" borderId="58" applyNumberFormat="0" applyProtection="0">
      <alignment horizontal="left" vertical="center" indent="1"/>
    </xf>
    <xf numFmtId="4" fontId="33" fillId="37" borderId="59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4" fontId="37" fillId="37" borderId="58" applyNumberFormat="0" applyProtection="0">
      <alignment horizontal="left" vertical="center" indent="1"/>
    </xf>
    <xf numFmtId="4" fontId="37" fillId="39" borderId="58" applyNumberFormat="0" applyProtection="0">
      <alignment horizontal="left" vertical="center" indent="1"/>
    </xf>
    <xf numFmtId="0" fontId="26" fillId="39" borderId="58" applyNumberFormat="0" applyProtection="0">
      <alignment horizontal="left" vertical="center" indent="1"/>
    </xf>
    <xf numFmtId="0" fontId="26" fillId="39" borderId="58" applyNumberFormat="0" applyProtection="0">
      <alignment horizontal="left" vertical="center" indent="1"/>
    </xf>
    <xf numFmtId="0" fontId="26" fillId="40" borderId="58" applyNumberFormat="0" applyProtection="0">
      <alignment horizontal="left" vertical="center" indent="1"/>
    </xf>
    <xf numFmtId="0" fontId="26" fillId="40" borderId="58" applyNumberFormat="0" applyProtection="0">
      <alignment horizontal="left" vertical="center" indent="1"/>
    </xf>
    <xf numFmtId="0" fontId="26" fillId="41" borderId="58" applyNumberFormat="0" applyProtection="0">
      <alignment horizontal="left" vertical="center" indent="1"/>
    </xf>
    <xf numFmtId="0" fontId="26" fillId="41" borderId="58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4" fontId="33" fillId="42" borderId="58" applyNumberFormat="0" applyProtection="0">
      <alignment vertical="center"/>
    </xf>
    <xf numFmtId="4" fontId="34" fillId="42" borderId="58" applyNumberFormat="0" applyProtection="0">
      <alignment vertical="center"/>
    </xf>
    <xf numFmtId="4" fontId="33" fillId="42" borderId="58" applyNumberFormat="0" applyProtection="0">
      <alignment horizontal="left" vertical="center" indent="1"/>
    </xf>
    <xf numFmtId="4" fontId="33" fillId="42" borderId="58" applyNumberFormat="0" applyProtection="0">
      <alignment horizontal="left" vertical="center" indent="1"/>
    </xf>
    <xf numFmtId="4" fontId="33" fillId="37" borderId="58" applyNumberFormat="0" applyProtection="0">
      <alignment horizontal="right" vertical="center"/>
    </xf>
    <xf numFmtId="4" fontId="34" fillId="37" borderId="58" applyNumberFormat="0" applyProtection="0">
      <alignment horizontal="right" vertical="center"/>
    </xf>
    <xf numFmtId="0" fontId="26" fillId="26" borderId="58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0" fontId="26" fillId="26" borderId="58" applyNumberFormat="0" applyProtection="0">
      <alignment horizontal="left" vertical="center" indent="1"/>
    </xf>
    <xf numFmtId="0" fontId="38" fillId="0" borderId="0"/>
    <xf numFmtId="4" fontId="39" fillId="37" borderId="58" applyNumberFormat="0" applyProtection="0">
      <alignment horizontal="right" vertical="center"/>
    </xf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5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5" fillId="44" borderId="0" applyNumberFormat="0" applyBorder="0" applyAlignment="0" applyProtection="0"/>
    <xf numFmtId="0" fontId="24" fillId="25" borderId="0" applyNumberFormat="0" applyBorder="0" applyAlignment="0" applyProtection="0"/>
    <xf numFmtId="0" fontId="24" fillId="49" borderId="0" applyNumberFormat="0" applyBorder="0" applyAlignment="0" applyProtection="0"/>
    <xf numFmtId="0" fontId="25" fillId="18" borderId="0" applyNumberFormat="0" applyBorder="0" applyAlignment="0" applyProtection="0"/>
    <xf numFmtId="0" fontId="24" fillId="49" borderId="0" applyNumberFormat="0" applyBorder="0" applyAlignment="0" applyProtection="0"/>
    <xf numFmtId="172" fontId="40" fillId="0" borderId="60">
      <protection locked="0"/>
    </xf>
    <xf numFmtId="0" fontId="41" fillId="15" borderId="61" applyNumberFormat="0" applyAlignment="0" applyProtection="0"/>
    <xf numFmtId="0" fontId="42" fillId="9" borderId="62" applyNumberFormat="0" applyAlignment="0" applyProtection="0"/>
    <xf numFmtId="0" fontId="41" fillId="15" borderId="61" applyNumberFormat="0" applyAlignment="0" applyProtection="0"/>
    <xf numFmtId="0" fontId="43" fillId="50" borderId="58" applyNumberFormat="0" applyAlignment="0" applyProtection="0"/>
    <xf numFmtId="0" fontId="44" fillId="13" borderId="63" applyNumberFormat="0" applyAlignment="0" applyProtection="0"/>
    <xf numFmtId="0" fontId="43" fillId="50" borderId="58" applyNumberFormat="0" applyAlignment="0" applyProtection="0"/>
    <xf numFmtId="0" fontId="45" fillId="50" borderId="61" applyNumberFormat="0" applyAlignment="0" applyProtection="0"/>
    <xf numFmtId="0" fontId="46" fillId="13" borderId="62" applyNumberFormat="0" applyAlignment="0" applyProtection="0"/>
    <xf numFmtId="0" fontId="45" fillId="50" borderId="6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Border="0">
      <alignment horizontal="center" vertical="center" wrapText="1"/>
    </xf>
    <xf numFmtId="0" fontId="49" fillId="0" borderId="64" applyNumberFormat="0" applyFill="0" applyAlignment="0" applyProtection="0"/>
    <xf numFmtId="0" fontId="50" fillId="0" borderId="65" applyNumberFormat="0" applyFill="0" applyAlignment="0" applyProtection="0"/>
    <xf numFmtId="0" fontId="49" fillId="0" borderId="64" applyNumberFormat="0" applyFill="0" applyAlignment="0" applyProtection="0"/>
    <xf numFmtId="0" fontId="51" fillId="0" borderId="66" applyNumberFormat="0" applyFill="0" applyAlignment="0" applyProtection="0"/>
    <xf numFmtId="0" fontId="52" fillId="0" borderId="67" applyNumberFormat="0" applyFill="0" applyAlignment="0" applyProtection="0"/>
    <xf numFmtId="0" fontId="51" fillId="0" borderId="66" applyNumberFormat="0" applyFill="0" applyAlignment="0" applyProtection="0"/>
    <xf numFmtId="0" fontId="53" fillId="0" borderId="68" applyNumberFormat="0" applyFill="0" applyAlignment="0" applyProtection="0"/>
    <xf numFmtId="0" fontId="54" fillId="0" borderId="69" applyNumberFormat="0" applyFill="0" applyAlignment="0" applyProtection="0"/>
    <xf numFmtId="0" fontId="53" fillId="0" borderId="6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2" fontId="55" fillId="51" borderId="60"/>
    <xf numFmtId="0" fontId="56" fillId="0" borderId="70" applyNumberFormat="0" applyFill="0" applyAlignment="0" applyProtection="0"/>
    <xf numFmtId="0" fontId="44" fillId="0" borderId="71" applyNumberFormat="0" applyFill="0" applyAlignment="0" applyProtection="0"/>
    <xf numFmtId="0" fontId="56" fillId="0" borderId="70" applyNumberFormat="0" applyFill="0" applyAlignment="0" applyProtection="0"/>
    <xf numFmtId="0" fontId="57" fillId="52" borderId="72" applyNumberFormat="0" applyAlignment="0" applyProtection="0"/>
    <xf numFmtId="0" fontId="58" fillId="24" borderId="73" applyNumberFormat="0" applyAlignment="0" applyProtection="0"/>
    <xf numFmtId="0" fontId="57" fillId="52" borderId="72" applyNumberFormat="0" applyAlignment="0" applyProtection="0"/>
    <xf numFmtId="0" fontId="59" fillId="2" borderId="0" applyFill="0">
      <alignment wrapText="1"/>
    </xf>
    <xf numFmtId="0" fontId="60" fillId="0" borderId="0">
      <alignment horizontal="center" vertical="top" wrapText="1"/>
    </xf>
    <xf numFmtId="0" fontId="61" fillId="0" borderId="0">
      <alignment horizontal="centerContinuous" vertical="center" wrapText="1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48" borderId="0" applyNumberFormat="0" applyBorder="0" applyAlignment="0" applyProtection="0"/>
    <xf numFmtId="0" fontId="65" fillId="21" borderId="0" applyNumberFormat="0" applyBorder="0" applyAlignment="0" applyProtection="0"/>
    <xf numFmtId="0" fontId="64" fillId="48" borderId="0" applyNumberFormat="0" applyBorder="0" applyAlignment="0" applyProtection="0"/>
    <xf numFmtId="0" fontId="6" fillId="0" borderId="0"/>
    <xf numFmtId="0" fontId="6" fillId="0" borderId="0"/>
    <xf numFmtId="173" fontId="6" fillId="0" borderId="0"/>
    <xf numFmtId="0" fontId="66" fillId="0" borderId="0" applyNumberFormat="0" applyFont="0" applyBorder="0" applyProtection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67" fillId="0" borderId="0"/>
    <xf numFmtId="0" fontId="2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16" fillId="0" borderId="0"/>
    <xf numFmtId="0" fontId="26" fillId="0" borderId="0"/>
    <xf numFmtId="0" fontId="66" fillId="0" borderId="0" applyNumberFormat="0" applyBorder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9" fillId="0" borderId="0"/>
    <xf numFmtId="0" fontId="6" fillId="0" borderId="0"/>
    <xf numFmtId="0" fontId="69" fillId="0" borderId="0"/>
    <xf numFmtId="0" fontId="16" fillId="0" borderId="0"/>
    <xf numFmtId="0" fontId="16" fillId="0" borderId="0"/>
    <xf numFmtId="0" fontId="2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4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70" fillId="0" borderId="0" applyNumberFormat="0" applyFont="0" applyBorder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26" fillId="0" borderId="0"/>
    <xf numFmtId="0" fontId="26" fillId="0" borderId="0"/>
    <xf numFmtId="0" fontId="72" fillId="8" borderId="0" applyNumberFormat="0" applyBorder="0" applyAlignment="0" applyProtection="0"/>
    <xf numFmtId="0" fontId="73" fillId="53" borderId="0" applyNumberFormat="0" applyBorder="0" applyAlignment="0" applyProtection="0"/>
    <xf numFmtId="0" fontId="72" fillId="8" borderId="0" applyNumberFormat="0" applyBorder="0" applyAlignment="0" applyProtection="0"/>
    <xf numFmtId="167" fontId="74" fillId="3" borderId="45" applyNumberFormat="0" applyBorder="0" applyAlignment="0">
      <alignment vertical="center"/>
      <protection locked="0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21" borderId="62" applyNumberFormat="0" applyFont="0" applyAlignment="0" applyProtection="0"/>
    <xf numFmtId="0" fontId="26" fillId="21" borderId="61" applyNumberFormat="0" applyFont="0" applyAlignment="0" applyProtection="0"/>
    <xf numFmtId="0" fontId="26" fillId="21" borderId="62" applyNumberFormat="0" applyFont="0" applyAlignment="0" applyProtection="0"/>
    <xf numFmtId="0" fontId="6" fillId="21" borderId="62" applyNumberFormat="0" applyFont="0" applyAlignment="0" applyProtection="0"/>
    <xf numFmtId="0" fontId="26" fillId="21" borderId="62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7" fillId="0" borderId="74" applyNumberFormat="0" applyFill="0" applyAlignment="0" applyProtection="0"/>
    <xf numFmtId="0" fontId="78" fillId="0" borderId="75" applyNumberFormat="0" applyFill="0" applyAlignment="0" applyProtection="0"/>
    <xf numFmtId="0" fontId="77" fillId="0" borderId="74" applyNumberFormat="0" applyFill="0" applyAlignment="0" applyProtection="0"/>
    <xf numFmtId="0" fontId="18" fillId="0" borderId="0"/>
    <xf numFmtId="0" fontId="18" fillId="0" borderId="0"/>
    <xf numFmtId="0" fontId="18" fillId="0" borderId="0"/>
    <xf numFmtId="38" fontId="67" fillId="0" borderId="0">
      <alignment vertical="top"/>
    </xf>
    <xf numFmtId="0" fontId="18" fillId="0" borderId="0"/>
    <xf numFmtId="38" fontId="67" fillId="0" borderId="0">
      <alignment vertical="top"/>
    </xf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9" fontId="59" fillId="0" borderId="0">
      <alignment horizont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0" borderId="0"/>
    <xf numFmtId="43" fontId="22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13" fillId="2" borderId="0" applyBorder="0">
      <alignment horizontal="right"/>
    </xf>
    <xf numFmtId="4" fontId="13" fillId="2" borderId="1" applyFont="0" applyBorder="0">
      <alignment horizontal="right"/>
    </xf>
    <xf numFmtId="0" fontId="81" fillId="10" borderId="0" applyNumberFormat="0" applyBorder="0" applyAlignment="0" applyProtection="0"/>
    <xf numFmtId="0" fontId="82" fillId="11" borderId="0" applyNumberFormat="0" applyBorder="0" applyAlignment="0" applyProtection="0"/>
    <xf numFmtId="0" fontId="81" fillId="10" borderId="0" applyNumberFormat="0" applyBorder="0" applyAlignment="0" applyProtection="0"/>
    <xf numFmtId="44" fontId="20" fillId="0" borderId="0">
      <protection locked="0"/>
    </xf>
    <xf numFmtId="0" fontId="56" fillId="0" borderId="70" applyNumberFormat="0" applyFill="0" applyAlignment="0" applyProtection="0"/>
    <xf numFmtId="0" fontId="41" fillId="54" borderId="61" applyNumberFormat="0" applyAlignment="0" applyProtection="0"/>
    <xf numFmtId="0" fontId="56" fillId="0" borderId="70" applyNumberFormat="0" applyFill="0" applyAlignment="0" applyProtection="0"/>
    <xf numFmtId="0" fontId="72" fillId="55" borderId="0" applyNumberFormat="0" applyBorder="0" applyAlignment="0" applyProtection="0"/>
    <xf numFmtId="0" fontId="24" fillId="56" borderId="0" applyNumberFormat="0" applyBorder="0" applyAlignment="0" applyProtection="0"/>
    <xf numFmtId="0" fontId="72" fillId="55" borderId="0" applyNumberFormat="0" applyBorder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" fillId="57" borderId="62" applyNumberFormat="0" applyAlignment="0" applyProtection="0"/>
    <xf numFmtId="0" fontId="49" fillId="0" borderId="64" applyNumberFormat="0" applyFill="0" applyAlignment="0" applyProtection="0"/>
    <xf numFmtId="0" fontId="26" fillId="57" borderId="62" applyNumberFormat="0" applyAlignment="0" applyProtection="0"/>
    <xf numFmtId="0" fontId="24" fillId="58" borderId="0" applyNumberFormat="0" applyBorder="0" applyAlignment="0" applyProtection="0"/>
    <xf numFmtId="0" fontId="77" fillId="0" borderId="74" applyNumberFormat="0" applyFill="0" applyAlignment="0" applyProtection="0"/>
    <xf numFmtId="0" fontId="57" fillId="59" borderId="72" applyNumberFormat="0" applyAlignment="0" applyProtection="0"/>
    <xf numFmtId="0" fontId="79" fillId="0" borderId="0" applyNumberFormat="0" applyFill="0" applyBorder="0" applyAlignment="0" applyProtection="0"/>
  </cellStyleXfs>
  <cellXfs count="419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3" fillId="2" borderId="8" xfId="7" applyNumberFormat="1" applyFill="1" applyBorder="1" applyProtection="1">
      <alignment horizontal="right"/>
    </xf>
    <xf numFmtId="4" fontId="13" fillId="3" borderId="1" xfId="7" applyNumberFormat="1" applyBorder="1" applyProtection="1">
      <alignment horizontal="right"/>
      <protection locked="0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3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1" fillId="0" borderId="8" xfId="4" applyFont="1" applyBorder="1" applyAlignment="1" applyProtection="1">
      <alignment vertical="top"/>
    </xf>
    <xf numFmtId="0" fontId="11" fillId="0" borderId="1" xfId="4" applyFont="1" applyBorder="1" applyAlignment="1" applyProtection="1">
      <alignment horizontal="left" vertical="top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vertical="top"/>
    </xf>
    <xf numFmtId="4" fontId="11" fillId="2" borderId="8" xfId="4" applyNumberFormat="1" applyFont="1" applyFill="1" applyBorder="1" applyProtection="1"/>
    <xf numFmtId="0" fontId="6" fillId="0" borderId="8" xfId="4" applyBorder="1" applyProtection="1"/>
    <xf numFmtId="4" fontId="11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1" fillId="2" borderId="8" xfId="5" applyNumberFormat="1" applyFont="1" applyBorder="1" applyAlignment="1" applyProtection="1">
      <alignment horizontal="right" vertical="center"/>
    </xf>
    <xf numFmtId="4" fontId="11" fillId="2" borderId="25" xfId="5" applyFont="1" applyBorder="1" applyAlignment="1" applyProtection="1">
      <alignment horizontal="right" vertical="center"/>
    </xf>
    <xf numFmtId="4" fontId="11" fillId="0" borderId="1" xfId="7" applyNumberFormat="1" applyFont="1" applyFill="1" applyBorder="1" applyAlignment="1" applyProtection="1">
      <alignment horizontal="center" vertical="center" wrapText="1"/>
    </xf>
    <xf numFmtId="0" fontId="13" fillId="0" borderId="1" xfId="7" applyNumberFormat="1" applyFont="1" applyFill="1" applyBorder="1" applyProtection="1">
      <alignment horizontal="right"/>
      <protection locked="0"/>
    </xf>
    <xf numFmtId="4" fontId="13" fillId="2" borderId="8" xfId="7" applyNumberFormat="1" applyFill="1" applyBorder="1" applyAlignment="1" applyProtection="1">
      <alignment horizontal="right" vertical="center"/>
      <protection locked="0"/>
    </xf>
    <xf numFmtId="4" fontId="13" fillId="3" borderId="1" xfId="7" applyNumberFormat="1" applyFill="1" applyBorder="1" applyAlignment="1" applyProtection="1">
      <alignment horizontal="right" vertical="center"/>
      <protection locked="0"/>
    </xf>
    <xf numFmtId="0" fontId="13" fillId="0" borderId="1" xfId="7" applyNumberFormat="1" applyFill="1" applyBorder="1" applyProtection="1">
      <alignment horizontal="right"/>
      <protection locked="0"/>
    </xf>
    <xf numFmtId="4" fontId="11" fillId="0" borderId="11" xfId="7" applyNumberFormat="1" applyFont="1" applyFill="1" applyBorder="1" applyAlignment="1" applyProtection="1">
      <alignment horizontal="center" vertical="center" wrapText="1"/>
    </xf>
    <xf numFmtId="0" fontId="13" fillId="0" borderId="11" xfId="7" applyNumberFormat="1" applyFill="1" applyBorder="1" applyProtection="1">
      <alignment horizontal="right"/>
      <protection locked="0"/>
    </xf>
    <xf numFmtId="4" fontId="13" fillId="2" borderId="10" xfId="7" applyNumberFormat="1" applyFill="1" applyBorder="1" applyAlignment="1" applyProtection="1">
      <alignment horizontal="right" vertical="center"/>
      <protection locked="0"/>
    </xf>
    <xf numFmtId="4" fontId="13" fillId="3" borderId="11" xfId="7" applyNumberFormat="1" applyFill="1" applyBorder="1" applyAlignment="1" applyProtection="1">
      <alignment horizontal="right" vertical="center"/>
      <protection locked="0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4" fontId="4" fillId="0" borderId="0" xfId="4" applyNumberFormat="1" applyFont="1" applyFill="1" applyBorder="1"/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 vertical="center" wrapText="1"/>
    </xf>
    <xf numFmtId="4" fontId="13" fillId="2" borderId="26" xfId="7" applyNumberFormat="1" applyFill="1" applyBorder="1" applyProtection="1">
      <alignment horizontal="right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4" fillId="0" borderId="0" xfId="4" applyFont="1" applyFill="1" applyProtection="1">
      <protection locked="0"/>
    </xf>
    <xf numFmtId="0" fontId="14" fillId="0" borderId="0" xfId="4" applyFont="1" applyProtection="1">
      <protection locked="0"/>
    </xf>
    <xf numFmtId="164" fontId="15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4" fontId="1" fillId="3" borderId="3" xfId="4" applyNumberFormat="1" applyFont="1" applyFill="1" applyBorder="1" applyProtection="1">
      <protection locked="0"/>
    </xf>
    <xf numFmtId="4" fontId="2" fillId="2" borderId="0" xfId="5" applyFont="1" applyBorder="1" applyAlignment="1" applyProtection="1">
      <alignment horizontal="center" vertical="center"/>
    </xf>
    <xf numFmtId="0" fontId="6" fillId="0" borderId="25" xfId="4" applyFill="1" applyBorder="1" applyAlignment="1" applyProtection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 applyProtection="1">
      <alignment horizontal="center"/>
      <protection locked="0"/>
    </xf>
    <xf numFmtId="164" fontId="1" fillId="2" borderId="48" xfId="4" applyNumberFormat="1" applyFont="1" applyFill="1" applyBorder="1" applyProtection="1">
      <protection locked="0"/>
    </xf>
    <xf numFmtId="164" fontId="1" fillId="0" borderId="28" xfId="4" applyNumberFormat="1" applyFont="1" applyBorder="1" applyProtection="1">
      <protection locked="0"/>
    </xf>
    <xf numFmtId="164" fontId="1" fillId="2" borderId="28" xfId="4" applyNumberFormat="1" applyFont="1" applyFill="1" applyBorder="1" applyProtection="1">
      <protection locked="0"/>
    </xf>
    <xf numFmtId="164" fontId="1" fillId="3" borderId="28" xfId="4" applyNumberFormat="1" applyFont="1" applyFill="1" applyBorder="1" applyProtection="1">
      <protection locked="0"/>
    </xf>
    <xf numFmtId="164" fontId="1" fillId="0" borderId="0" xfId="4" applyNumberFormat="1" applyFont="1" applyFill="1" applyBorder="1" applyProtection="1">
      <protection locked="0"/>
    </xf>
    <xf numFmtId="0" fontId="1" fillId="3" borderId="28" xfId="4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" fillId="3" borderId="21" xfId="4" applyFont="1" applyFill="1" applyBorder="1" applyProtection="1"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4" fontId="11" fillId="0" borderId="26" xfId="6" applyNumberFormat="1" applyFont="1" applyBorder="1" applyProtection="1">
      <alignment horizontal="center" vertical="center" wrapText="1"/>
    </xf>
    <xf numFmtId="0" fontId="11" fillId="0" borderId="25" xfId="6" applyFont="1" applyBorder="1" applyProtection="1">
      <alignment horizontal="center" vertical="center" wrapText="1"/>
    </xf>
    <xf numFmtId="0" fontId="11" fillId="0" borderId="29" xfId="6" applyFont="1" applyBorder="1" applyProtection="1">
      <alignment horizontal="center" vertical="center" wrapText="1"/>
    </xf>
    <xf numFmtId="0" fontId="3" fillId="0" borderId="27" xfId="4" applyFont="1" applyBorder="1" applyAlignment="1">
      <alignment vertical="center"/>
    </xf>
    <xf numFmtId="4" fontId="11" fillId="0" borderId="10" xfId="6" applyNumberFormat="1" applyFont="1" applyBorder="1" applyProtection="1">
      <alignment horizontal="center" vertical="center" wrapText="1"/>
    </xf>
    <xf numFmtId="0" fontId="11" fillId="0" borderId="11" xfId="6" applyFont="1" applyBorder="1" applyProtection="1">
      <alignment horizontal="center" vertical="center" wrapText="1"/>
    </xf>
    <xf numFmtId="0" fontId="11" fillId="0" borderId="21" xfId="6" applyFont="1" applyBorder="1" applyProtection="1">
      <alignment horizontal="center" vertical="center" wrapText="1"/>
    </xf>
    <xf numFmtId="0" fontId="4" fillId="0" borderId="9" xfId="4" applyFont="1" applyBorder="1"/>
    <xf numFmtId="0" fontId="6" fillId="0" borderId="38" xfId="4" applyFill="1" applyBorder="1" applyProtection="1"/>
    <xf numFmtId="4" fontId="13" fillId="3" borderId="25" xfId="7" applyNumberFormat="1" applyBorder="1" applyProtection="1">
      <alignment horizontal="right"/>
      <protection locked="0"/>
    </xf>
    <xf numFmtId="4" fontId="13" fillId="2" borderId="29" xfId="5" applyFont="1" applyBorder="1" applyAlignment="1" applyProtection="1">
      <alignment horizontal="right" vertical="center"/>
    </xf>
    <xf numFmtId="4" fontId="13" fillId="2" borderId="3" xfId="5" applyFont="1" applyBorder="1" applyAlignment="1" applyProtection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1" fillId="2" borderId="8" xfId="4" applyNumberFormat="1" applyFont="1" applyFill="1" applyBorder="1" applyProtection="1">
      <protection locked="0"/>
    </xf>
    <xf numFmtId="4" fontId="11" fillId="2" borderId="3" xfId="5" applyFont="1" applyBorder="1" applyAlignment="1" applyProtection="1">
      <alignment horizontal="right" vertical="center"/>
    </xf>
    <xf numFmtId="4" fontId="11" fillId="2" borderId="21" xfId="5" applyFont="1" applyBorder="1" applyAlignment="1" applyProtection="1">
      <alignment horizontal="right" vertical="center"/>
    </xf>
    <xf numFmtId="0" fontId="4" fillId="0" borderId="12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1" fillId="0" borderId="54" xfId="6" applyBorder="1" applyAlignment="1" applyProtection="1">
      <alignment horizontal="center" vertical="center" wrapText="1"/>
    </xf>
    <xf numFmtId="2" fontId="6" fillId="0" borderId="32" xfId="4" applyNumberFormat="1" applyFill="1" applyBorder="1" applyAlignment="1" applyProtection="1">
      <alignment horizontal="center" vertical="center"/>
    </xf>
    <xf numFmtId="4" fontId="13" fillId="2" borderId="53" xfId="7" applyNumberFormat="1" applyFill="1" applyBorder="1" applyAlignment="1" applyProtection="1">
      <alignment horizontal="center" vertical="center"/>
    </xf>
    <xf numFmtId="4" fontId="13" fillId="3" borderId="53" xfId="7" applyNumberFormat="1" applyBorder="1" applyAlignment="1" applyProtection="1">
      <alignment horizontal="center" vertical="center"/>
      <protection locked="0"/>
    </xf>
    <xf numFmtId="4" fontId="13" fillId="2" borderId="53" xfId="8" applyFont="1" applyBorder="1" applyAlignment="1" applyProtection="1">
      <alignment horizontal="center" vertical="center"/>
    </xf>
    <xf numFmtId="2" fontId="3" fillId="0" borderId="4" xfId="4" applyNumberFormat="1" applyFont="1" applyFill="1" applyBorder="1"/>
    <xf numFmtId="1" fontId="6" fillId="0" borderId="55" xfId="4" applyNumberFormat="1" applyFill="1" applyBorder="1" applyAlignment="1" applyProtection="1">
      <alignment horizontal="center" vertical="center"/>
    </xf>
    <xf numFmtId="4" fontId="13" fillId="2" borderId="55" xfId="7" applyNumberFormat="1" applyFill="1" applyBorder="1" applyAlignment="1" applyProtection="1">
      <alignment horizontal="center" vertical="center"/>
    </xf>
    <xf numFmtId="4" fontId="13" fillId="3" borderId="56" xfId="7" applyNumberFormat="1" applyBorder="1" applyAlignment="1" applyProtection="1">
      <alignment horizontal="center" vertical="center"/>
      <protection locked="0"/>
    </xf>
    <xf numFmtId="4" fontId="13" fillId="2" borderId="55" xfId="8" applyFont="1" applyBorder="1" applyAlignment="1" applyProtection="1">
      <alignment horizontal="center" vertical="center"/>
    </xf>
    <xf numFmtId="0" fontId="6" fillId="0" borderId="55" xfId="4" applyFill="1" applyBorder="1" applyAlignment="1" applyProtection="1">
      <alignment horizontal="center" vertical="center"/>
    </xf>
    <xf numFmtId="4" fontId="4" fillId="0" borderId="4" xfId="4" applyNumberFormat="1" applyFont="1" applyFill="1" applyBorder="1"/>
    <xf numFmtId="0" fontId="6" fillId="0" borderId="55" xfId="4" applyBorder="1" applyAlignment="1" applyProtection="1">
      <alignment horizontal="center" vertical="center"/>
    </xf>
    <xf numFmtId="4" fontId="3" fillId="0" borderId="4" xfId="4" applyNumberFormat="1" applyFont="1" applyFill="1" applyBorder="1"/>
    <xf numFmtId="4" fontId="4" fillId="0" borderId="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17" fontId="6" fillId="0" borderId="55" xfId="4" quotePrefix="1" applyNumberFormat="1" applyBorder="1" applyAlignment="1" applyProtection="1">
      <alignment horizontal="center" vertical="center"/>
    </xf>
    <xf numFmtId="0" fontId="6" fillId="0" borderId="8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4" fontId="11" fillId="0" borderId="55" xfId="8" applyFont="1" applyFill="1" applyBorder="1" applyAlignment="1" applyProtection="1">
      <alignment horizontal="center" vertical="center"/>
    </xf>
    <xf numFmtId="4" fontId="11" fillId="2" borderId="55" xfId="8" applyFont="1" applyBorder="1" applyAlignment="1" applyProtection="1">
      <alignment horizontal="center" vertical="center"/>
    </xf>
    <xf numFmtId="0" fontId="11" fillId="0" borderId="55" xfId="4" applyFont="1" applyBorder="1" applyAlignment="1" applyProtection="1">
      <alignment horizontal="center" vertical="center"/>
    </xf>
    <xf numFmtId="4" fontId="6" fillId="2" borderId="55" xfId="4" applyNumberFormat="1" applyFill="1" applyBorder="1" applyAlignment="1" applyProtection="1">
      <alignment horizontal="center" vertical="center"/>
    </xf>
    <xf numFmtId="4" fontId="6" fillId="3" borderId="55" xfId="4" applyNumberFormat="1" applyFill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</xf>
    <xf numFmtId="4" fontId="6" fillId="2" borderId="54" xfId="4" applyNumberFormat="1" applyFill="1" applyBorder="1" applyAlignment="1" applyProtection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165" fontId="4" fillId="0" borderId="0" xfId="4" applyNumberFormat="1" applyFont="1" applyProtection="1">
      <protection locked="0"/>
    </xf>
    <xf numFmtId="0" fontId="2" fillId="3" borderId="9" xfId="4" applyFont="1" applyFill="1" applyBorder="1" applyProtection="1">
      <protection locked="0"/>
    </xf>
    <xf numFmtId="164" fontId="4" fillId="5" borderId="0" xfId="4" applyNumberFormat="1" applyFont="1" applyFill="1" applyProtection="1">
      <protection locked="0"/>
    </xf>
    <xf numFmtId="164" fontId="4" fillId="0" borderId="0" xfId="4" applyNumberFormat="1" applyFont="1" applyFill="1" applyBorder="1" applyProtection="1"/>
    <xf numFmtId="0" fontId="7" fillId="0" borderId="0" xfId="4" applyFont="1" applyFill="1" applyBorder="1" applyAlignment="1" applyProtection="1">
      <alignment vertical="justify"/>
      <protection locked="0"/>
    </xf>
    <xf numFmtId="0" fontId="4" fillId="0" borderId="0" xfId="4" applyFont="1" applyFill="1" applyBorder="1" applyAlignment="1" applyProtection="1">
      <alignment horizontal="center"/>
      <protection locked="0"/>
    </xf>
    <xf numFmtId="165" fontId="4" fillId="0" borderId="0" xfId="4" applyNumberFormat="1" applyFont="1" applyFill="1" applyBorder="1" applyProtection="1">
      <protection locked="0"/>
    </xf>
    <xf numFmtId="4" fontId="11" fillId="2" borderId="3" xfId="5" applyNumberFormat="1" applyFont="1" applyBorder="1" applyAlignment="1" applyProtection="1">
      <alignment horizontal="right" vertical="center"/>
    </xf>
    <xf numFmtId="2" fontId="11" fillId="2" borderId="55" xfId="8" applyNumberFormat="1" applyFont="1" applyBorder="1" applyAlignment="1" applyProtection="1">
      <alignment horizontal="center" vertical="center"/>
    </xf>
    <xf numFmtId="2" fontId="11" fillId="2" borderId="54" xfId="9" applyNumberFormat="1" applyFont="1" applyFill="1" applyBorder="1" applyAlignment="1" applyProtection="1">
      <alignment horizontal="center" vertical="center"/>
    </xf>
    <xf numFmtId="164" fontId="1" fillId="3" borderId="27" xfId="4" applyNumberFormat="1" applyFont="1" applyFill="1" applyBorder="1" applyProtection="1">
      <protection locked="0"/>
    </xf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20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11" fillId="0" borderId="43" xfId="4" applyNumberFormat="1" applyFont="1" applyBorder="1" applyAlignment="1" applyProtection="1">
      <alignment horizontal="center" vertical="center"/>
    </xf>
    <xf numFmtId="0" fontId="11" fillId="0" borderId="2" xfId="4" applyNumberFormat="1" applyFont="1" applyBorder="1" applyAlignment="1" applyProtection="1">
      <alignment horizontal="center" vertical="center"/>
    </xf>
    <xf numFmtId="0" fontId="11" fillId="0" borderId="44" xfId="4" applyNumberFormat="1" applyFont="1" applyBorder="1" applyAlignment="1" applyProtection="1">
      <alignment horizontal="center" vertical="center"/>
    </xf>
    <xf numFmtId="0" fontId="11" fillId="0" borderId="45" xfId="4" applyNumberFormat="1" applyFont="1" applyBorder="1" applyAlignment="1" applyProtection="1">
      <alignment horizontal="center" vertical="center"/>
    </xf>
    <xf numFmtId="0" fontId="11" fillId="0" borderId="46" xfId="4" applyNumberFormat="1" applyFont="1" applyBorder="1" applyAlignment="1" applyProtection="1">
      <alignment horizontal="center" vertical="center"/>
    </xf>
    <xf numFmtId="0" fontId="11" fillId="0" borderId="47" xfId="4" applyNumberFormat="1" applyFont="1" applyBorder="1" applyAlignment="1" applyProtection="1">
      <alignment horizontal="center" vertical="center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2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2" fillId="0" borderId="30" xfId="6" applyFont="1" applyBorder="1" applyAlignment="1" applyProtection="1">
      <alignment horizontal="center" vertical="center" wrapText="1"/>
    </xf>
    <xf numFmtId="0" fontId="12" fillId="0" borderId="41" xfId="6" applyFont="1" applyBorder="1" applyAlignment="1" applyProtection="1">
      <alignment horizontal="center" vertical="center" wrapText="1"/>
    </xf>
    <xf numFmtId="0" fontId="12" fillId="0" borderId="36" xfId="6" applyFont="1" applyBorder="1" applyAlignment="1" applyProtection="1">
      <alignment horizontal="center" vertical="center" wrapText="1"/>
    </xf>
    <xf numFmtId="0" fontId="11" fillId="0" borderId="40" xfId="6" applyBorder="1" applyAlignment="1" applyProtection="1">
      <alignment horizontal="center" vertical="center" wrapText="1"/>
    </xf>
    <xf numFmtId="0" fontId="11" fillId="0" borderId="24" xfId="6" applyBorder="1" applyAlignment="1" applyProtection="1">
      <alignment horizontal="center" vertical="center" wrapText="1"/>
    </xf>
    <xf numFmtId="0" fontId="11" fillId="0" borderId="52" xfId="6" applyBorder="1" applyAlignment="1" applyProtection="1">
      <alignment horizontal="center" vertical="center" wrapText="1"/>
    </xf>
    <xf numFmtId="0" fontId="11" fillId="0" borderId="31" xfId="6" applyBorder="1" applyAlignment="1" applyProtection="1">
      <alignment horizontal="center" vertical="center" wrapText="1"/>
    </xf>
    <xf numFmtId="0" fontId="11" fillId="0" borderId="42" xfId="6" applyBorder="1" applyAlignment="1" applyProtection="1">
      <alignment horizontal="center" vertical="center" wrapText="1"/>
    </xf>
    <xf numFmtId="0" fontId="11" fillId="0" borderId="37" xfId="6" applyBorder="1" applyAlignment="1" applyProtection="1">
      <alignment horizontal="center" vertical="center" wrapText="1"/>
    </xf>
    <xf numFmtId="164" fontId="11" fillId="3" borderId="49" xfId="7" applyNumberFormat="1" applyFont="1" applyBorder="1" applyAlignment="1" applyProtection="1">
      <alignment horizontal="center" vertical="center"/>
      <protection locked="0"/>
    </xf>
    <xf numFmtId="164" fontId="11" fillId="3" borderId="50" xfId="7" applyNumberFormat="1" applyFont="1" applyBorder="1" applyAlignment="1" applyProtection="1">
      <alignment horizontal="center" vertical="center"/>
      <protection locked="0"/>
    </xf>
    <xf numFmtId="164" fontId="11" fillId="3" borderId="51" xfId="7" applyNumberFormat="1" applyFont="1" applyBorder="1" applyAlignment="1" applyProtection="1">
      <alignment horizontal="center" vertical="center"/>
      <protection locked="0"/>
    </xf>
    <xf numFmtId="0" fontId="6" fillId="0" borderId="8" xfId="4" applyBorder="1" applyAlignment="1" applyProtection="1">
      <alignment horizontal="center" vertical="center" wrapText="1"/>
    </xf>
    <xf numFmtId="0" fontId="6" fillId="0" borderId="10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0" fontId="6" fillId="0" borderId="54" xfId="4" applyBorder="1" applyAlignment="1" applyProtection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/>
    </xf>
    <xf numFmtId="2" fontId="3" fillId="0" borderId="38" xfId="4" applyNumberFormat="1" applyFont="1" applyFill="1" applyBorder="1" applyAlignment="1">
      <alignment horizontal="center" vertical="center"/>
    </xf>
    <xf numFmtId="0" fontId="6" fillId="0" borderId="26" xfId="4" applyBorder="1" applyAlignment="1" applyProtection="1">
      <alignment horizontal="center" vertical="center" wrapText="1"/>
    </xf>
    <xf numFmtId="0" fontId="6" fillId="0" borderId="53" xfId="4" applyBorder="1" applyAlignment="1" applyProtection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" fillId="0" borderId="53" xfId="6" applyBorder="1" applyAlignment="1" applyProtection="1">
      <alignment horizontal="center" vertical="center" wrapText="1"/>
    </xf>
    <xf numFmtId="0" fontId="11" fillId="0" borderId="54" xfId="6" applyBorder="1" applyAlignment="1" applyProtection="1">
      <alignment horizontal="center" vertical="center" wrapText="1"/>
    </xf>
    <xf numFmtId="164" fontId="11" fillId="3" borderId="53" xfId="7" applyNumberFormat="1" applyFont="1" applyBorder="1" applyAlignment="1" applyProtection="1">
      <alignment horizontal="center" vertical="center"/>
      <protection locked="0"/>
    </xf>
  </cellXfs>
  <cellStyles count="394">
    <cellStyle name=" 1" xfId="10"/>
    <cellStyle name="_07. расчет тарифа 2007 от 23.08.06 для аудиторов" xfId="11"/>
    <cellStyle name="_Агафонов ЛИЗИНГ 19 сентября" xfId="12"/>
    <cellStyle name="_Анализ_231207-3 (2)" xfId="13"/>
    <cellStyle name="_Заявка Тестова  СКОРРЕКТИРОВАННАЯ" xfId="14"/>
    <cellStyle name="_Инвест программа" xfId="15"/>
    <cellStyle name="_ИНФОРМАЦИЯ ПО ДОГОВОРАМ ЛИЗИНГА" xfId="16"/>
    <cellStyle name="_ИНФОРМАЦИЯ ПО ДОГОВОРАМ ЛИЗИНГА 19 мая" xfId="17"/>
    <cellStyle name="_ИНФОРМАЦИЯ ПО ДОГОВОРАМ ЛИЗИНГА 27.04.071" xfId="18"/>
    <cellStyle name="_ИНФОРМАЦИЯ ПО ДОГОВОРАМ ЛИЗИНГА1" xfId="19"/>
    <cellStyle name="_Копия Программа первоочередных мер_(правка 18 05 06 Усаров_2А_3)" xfId="20"/>
    <cellStyle name="_Копия Свод все сети+" xfId="21"/>
    <cellStyle name="_Копия формы для ФСК" xfId="22"/>
    <cellStyle name="_ЛИЗИНГ" xfId="23"/>
    <cellStyle name="_ЛИЗИНГ Агафонов 15.01.08" xfId="24"/>
    <cellStyle name="_Лизинг справка по забалансу 3 апрель" xfId="25"/>
    <cellStyle name="_Лист1" xfId="26"/>
    <cellStyle name="_Макет_Итоговый лист по анализу ИПР" xfId="27"/>
    <cellStyle name="_ОКС - программа кап.стройки" xfId="28"/>
    <cellStyle name="_Расчет амортизации-ОТПРАВКА" xfId="29"/>
    <cellStyle name="_смета расходов по версии ФСТ от 26.09.06 - Звержанская" xfId="30"/>
    <cellStyle name="_СМЕТЫ 2005 2006 2007" xfId="31"/>
    <cellStyle name="_Справка по забалансу по лизингу" xfId="32"/>
    <cellStyle name="_счета 2008 оплаченные в 2007г " xfId="33"/>
    <cellStyle name="_ТАРИФ1" xfId="34"/>
    <cellStyle name="_Фина план на 2007 год (ФО)" xfId="35"/>
    <cellStyle name="_ФП К" xfId="36"/>
    <cellStyle name="_ФП К_к ФСТ" xfId="37"/>
    <cellStyle name="_ФСТ-2007-отправка-сентябрь ИСТОЧНИКИ" xfId="38"/>
    <cellStyle name="’ћѓћ‚›‰" xfId="39"/>
    <cellStyle name="”ќђќ‘ћ‚›‰" xfId="40"/>
    <cellStyle name="”љ‘ђћ‚ђќќ›‰" xfId="41"/>
    <cellStyle name="„…ќ…†ќ›‰" xfId="42"/>
    <cellStyle name="‡ђѓћ‹ћ‚ћљ1" xfId="43"/>
    <cellStyle name="‡ђѓћ‹ћ‚ћљ2" xfId="44"/>
    <cellStyle name="20% - Акцент1 2" xfId="45"/>
    <cellStyle name="20% - Акцент1 2 2" xfId="46"/>
    <cellStyle name="20% - Акцент1 2 3" xfId="47"/>
    <cellStyle name="20% - Акцент1 3" xfId="48"/>
    <cellStyle name="20% - Акцент2 2" xfId="49"/>
    <cellStyle name="20% - Акцент2 2 2" xfId="50"/>
    <cellStyle name="20% - Акцент2 2 3" xfId="51"/>
    <cellStyle name="20% - Акцент2 3" xfId="52"/>
    <cellStyle name="20% - Акцент3 2" xfId="53"/>
    <cellStyle name="20% - Акцент3 2 2" xfId="54"/>
    <cellStyle name="20% - Акцент3 2 3" xfId="55"/>
    <cellStyle name="20% - Акцент3 3" xfId="56"/>
    <cellStyle name="20% - Акцент4 2" xfId="57"/>
    <cellStyle name="20% - Акцент4 2 2" xfId="58"/>
    <cellStyle name="20% - Акцент4 2 3" xfId="59"/>
    <cellStyle name="20% - Акцент4 3" xfId="60"/>
    <cellStyle name="20% - Акцент5 2" xfId="61"/>
    <cellStyle name="20% - Акцент5 2 2" xfId="62"/>
    <cellStyle name="20% - Акцент5 2 3" xfId="63"/>
    <cellStyle name="20% - Акцент5 3" xfId="64"/>
    <cellStyle name="20% - Акцент6 2" xfId="65"/>
    <cellStyle name="20% - Акцент6 2 2" xfId="66"/>
    <cellStyle name="20% - Акцент6 2 3" xfId="67"/>
    <cellStyle name="20% - Акцент6 3" xfId="68"/>
    <cellStyle name="40% - Акцент1 2" xfId="69"/>
    <cellStyle name="40% - Акцент1 2 2" xfId="70"/>
    <cellStyle name="40% - Акцент1 2 3" xfId="71"/>
    <cellStyle name="40% - Акцент1 3" xfId="72"/>
    <cellStyle name="40% - Акцент2 2" xfId="73"/>
    <cellStyle name="40% - Акцент2 2 2" xfId="74"/>
    <cellStyle name="40% - Акцент2 2 3" xfId="75"/>
    <cellStyle name="40% - Акцент2 3" xfId="76"/>
    <cellStyle name="40% - Акцент3 2" xfId="77"/>
    <cellStyle name="40% - Акцент3 2 2" xfId="78"/>
    <cellStyle name="40% - Акцент3 2 3" xfId="79"/>
    <cellStyle name="40% - Акцент3 3" xfId="80"/>
    <cellStyle name="40% - Акцент4 2" xfId="81"/>
    <cellStyle name="40% - Акцент4 2 2" xfId="82"/>
    <cellStyle name="40% - Акцент4 2 3" xfId="83"/>
    <cellStyle name="40% - Акцент4 3" xfId="84"/>
    <cellStyle name="40% - Акцент5 2" xfId="85"/>
    <cellStyle name="40% - Акцент5 2 2" xfId="86"/>
    <cellStyle name="40% - Акцент5 2 3" xfId="87"/>
    <cellStyle name="40% - Акцент5 3" xfId="88"/>
    <cellStyle name="40% - Акцент6 2" xfId="89"/>
    <cellStyle name="40% - Акцент6 2 2" xfId="90"/>
    <cellStyle name="40% - Акцент6 2 3" xfId="91"/>
    <cellStyle name="40% - Акцент6 3" xfId="92"/>
    <cellStyle name="60% - Акцент1 2" xfId="93"/>
    <cellStyle name="60% - Акцент1 2 2" xfId="94"/>
    <cellStyle name="60% - Акцент1 3" xfId="95"/>
    <cellStyle name="60% - Акцент2 2" xfId="96"/>
    <cellStyle name="60% - Акцент2 2 2" xfId="97"/>
    <cellStyle name="60% - Акцент2 3" xfId="98"/>
    <cellStyle name="60% - Акцент3 2" xfId="99"/>
    <cellStyle name="60% - Акцент3 2 2" xfId="100"/>
    <cellStyle name="60% - Акцент3 3" xfId="101"/>
    <cellStyle name="60% - Акцент4 2" xfId="102"/>
    <cellStyle name="60% - Акцент4 2 2" xfId="103"/>
    <cellStyle name="60% - Акцент4 3" xfId="104"/>
    <cellStyle name="60% - Акцент5 2" xfId="105"/>
    <cellStyle name="60% - Акцент5 2 2" xfId="106"/>
    <cellStyle name="60% - Акцент5 3" xfId="107"/>
    <cellStyle name="60% - Акцент6 2" xfId="108"/>
    <cellStyle name="60% - Акцент6 2 2" xfId="109"/>
    <cellStyle name="60% - Акцент6 3" xfId="110"/>
    <cellStyle name="Comma [0]_laroux" xfId="111"/>
    <cellStyle name="Comma_laroux" xfId="112"/>
    <cellStyle name="Currency [0]" xfId="113"/>
    <cellStyle name="Currency_laroux" xfId="114"/>
    <cellStyle name="Normal" xfId="115"/>
    <cellStyle name="Normal 1" xfId="116"/>
    <cellStyle name="Normal 2" xfId="117"/>
    <cellStyle name="Normal_ASUS" xfId="118"/>
    <cellStyle name="Normal1" xfId="119"/>
    <cellStyle name="Price_Body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 2" xfId="156"/>
    <cellStyle name="SAPBEXstdItemX" xfId="157"/>
    <cellStyle name="SAPBEXtitle" xfId="158"/>
    <cellStyle name="SAPBEXundefined" xfId="159"/>
    <cellStyle name="Акцент1 2" xfId="160"/>
    <cellStyle name="Акцент1 2 2" xfId="161"/>
    <cellStyle name="Акцент1 3" xfId="162"/>
    <cellStyle name="Акцент2 2" xfId="163"/>
    <cellStyle name="Акцент2 2 2" xfId="164"/>
    <cellStyle name="Акцент2 3" xfId="165"/>
    <cellStyle name="Акцент3 2" xfId="166"/>
    <cellStyle name="Акцент3 2 2" xfId="167"/>
    <cellStyle name="Акцент3 3" xfId="168"/>
    <cellStyle name="Акцент4 2" xfId="169"/>
    <cellStyle name="Акцент4 2 2" xfId="170"/>
    <cellStyle name="Акцент4 3" xfId="171"/>
    <cellStyle name="Акцент5 2" xfId="172"/>
    <cellStyle name="Акцент5 2 2" xfId="173"/>
    <cellStyle name="Акцент5 3" xfId="174"/>
    <cellStyle name="Акцент6 2" xfId="175"/>
    <cellStyle name="Акцент6 2 2" xfId="176"/>
    <cellStyle name="Акцент6 3" xfId="177"/>
    <cellStyle name="Беззащитный" xfId="178"/>
    <cellStyle name="Ввод  2" xfId="179"/>
    <cellStyle name="Ввод  2 2" xfId="180"/>
    <cellStyle name="Ввод  3" xfId="181"/>
    <cellStyle name="Вывод 2" xfId="182"/>
    <cellStyle name="Вывод 2 2" xfId="183"/>
    <cellStyle name="Вывод 3" xfId="184"/>
    <cellStyle name="Вычисление 2" xfId="185"/>
    <cellStyle name="Вычисление 2 2" xfId="186"/>
    <cellStyle name="Вычисление 3" xfId="187"/>
    <cellStyle name="Гиперссылка 2" xfId="188"/>
    <cellStyle name="Заголовок" xfId="189"/>
    <cellStyle name="Заголовок 1 2" xfId="190"/>
    <cellStyle name="Заголовок 1 2 2" xfId="191"/>
    <cellStyle name="Заголовок 1 3" xfId="192"/>
    <cellStyle name="Заголовок 2 2" xfId="193"/>
    <cellStyle name="Заголовок 2 2 2" xfId="194"/>
    <cellStyle name="Заголовок 2 3" xfId="195"/>
    <cellStyle name="Заголовок 3 2" xfId="196"/>
    <cellStyle name="Заголовок 3 2 2" xfId="197"/>
    <cellStyle name="Заголовок 3 3" xfId="198"/>
    <cellStyle name="Заголовок 4 2" xfId="199"/>
    <cellStyle name="Заголовок 4 2 2" xfId="200"/>
    <cellStyle name="Заголовок 4 3" xfId="201"/>
    <cellStyle name="ЗаголовокСтолбца" xfId="6"/>
    <cellStyle name="Защитный" xfId="202"/>
    <cellStyle name="Значение" xfId="7"/>
    <cellStyle name="Итог 2" xfId="203"/>
    <cellStyle name="Итог 2 2" xfId="204"/>
    <cellStyle name="Итог 3" xfId="205"/>
    <cellStyle name="Контрольная ячейка 2" xfId="206"/>
    <cellStyle name="Контрольная ячейка 2 2" xfId="207"/>
    <cellStyle name="Контрольная ячейка 3" xfId="208"/>
    <cellStyle name="Мои наименования показателей" xfId="209"/>
    <cellStyle name="Мой заголовок" xfId="210"/>
    <cellStyle name="Мой заголовок листа" xfId="211"/>
    <cellStyle name="Название 2" xfId="212"/>
    <cellStyle name="Название 2 2" xfId="213"/>
    <cellStyle name="Название 3" xfId="214"/>
    <cellStyle name="Нейтральный 2" xfId="215"/>
    <cellStyle name="Нейтральный 2 2" xfId="216"/>
    <cellStyle name="Нейтральный 3" xfId="217"/>
    <cellStyle name="Обычный" xfId="0" builtinId="0"/>
    <cellStyle name="Обычный 10" xfId="218"/>
    <cellStyle name="Обычный 10 2" xfId="219"/>
    <cellStyle name="Обычный 10 3" xfId="220"/>
    <cellStyle name="Обычный 10 4" xfId="221"/>
    <cellStyle name="Обычный 10 5" xfId="222"/>
    <cellStyle name="Обычный 10 5 2" xfId="223"/>
    <cellStyle name="Обычный 11" xfId="224"/>
    <cellStyle name="Обычный 11 2" xfId="225"/>
    <cellStyle name="Обычный 11 3" xfId="226"/>
    <cellStyle name="Обычный 110" xfId="227"/>
    <cellStyle name="Обычный 12" xfId="228"/>
    <cellStyle name="Обычный 12 2" xfId="229"/>
    <cellStyle name="Обычный 12 3" xfId="230"/>
    <cellStyle name="Обычный 13" xfId="231"/>
    <cellStyle name="Обычный 13 2" xfId="232"/>
    <cellStyle name="Обычный 14" xfId="233"/>
    <cellStyle name="Обычный 15" xfId="234"/>
    <cellStyle name="Обычный 15 2" xfId="235"/>
    <cellStyle name="Обычный 16" xfId="236"/>
    <cellStyle name="Обычный 16 2" xfId="237"/>
    <cellStyle name="Обычный 17" xfId="238"/>
    <cellStyle name="Обычный 2" xfId="2"/>
    <cellStyle name="Обычный 2 10" xfId="239"/>
    <cellStyle name="Обычный 2 11" xfId="240"/>
    <cellStyle name="Обычный 2 12" xfId="241"/>
    <cellStyle name="Обычный 2 2" xfId="242"/>
    <cellStyle name="Обычный 2 2 2" xfId="243"/>
    <cellStyle name="Обычный 2 2 2 2" xfId="244"/>
    <cellStyle name="Обычный 2 2 2 3" xfId="245"/>
    <cellStyle name="Обычный 2 2 3" xfId="246"/>
    <cellStyle name="Обычный 2 2 3 2" xfId="247"/>
    <cellStyle name="Обычный 2 2 4" xfId="248"/>
    <cellStyle name="Обычный 2 3" xfId="249"/>
    <cellStyle name="Обычный 2 3 2" xfId="250"/>
    <cellStyle name="Обычный 2 4" xfId="251"/>
    <cellStyle name="Обычный 2 5" xfId="252"/>
    <cellStyle name="Обычный 2 5 2" xfId="253"/>
    <cellStyle name="Обычный 2 5 3" xfId="254"/>
    <cellStyle name="Обычный 2 6" xfId="255"/>
    <cellStyle name="Обычный 2 7" xfId="256"/>
    <cellStyle name="Обычный 2 7 2" xfId="257"/>
    <cellStyle name="Обычный 2 8" xfId="258"/>
    <cellStyle name="Обычный 2 8 2" xfId="259"/>
    <cellStyle name="Обычный 2 8 3" xfId="260"/>
    <cellStyle name="Обычный 2 9" xfId="261"/>
    <cellStyle name="Обычный 3" xfId="4"/>
    <cellStyle name="Обычный 3 11" xfId="262"/>
    <cellStyle name="Обычный 3 2" xfId="263"/>
    <cellStyle name="Обычный 3 2 2" xfId="264"/>
    <cellStyle name="Обычный 3 2 2 2" xfId="265"/>
    <cellStyle name="Обычный 3 2 3" xfId="266"/>
    <cellStyle name="Обычный 3 2 4" xfId="267"/>
    <cellStyle name="Обычный 3 3" xfId="268"/>
    <cellStyle name="Обычный 3 3 2" xfId="269"/>
    <cellStyle name="Обычный 3 4" xfId="270"/>
    <cellStyle name="Обычный 3 5" xfId="271"/>
    <cellStyle name="Обычный 3 6" xfId="272"/>
    <cellStyle name="Обычный 3 7" xfId="273"/>
    <cellStyle name="Обычный 3_ИП-май-2011" xfId="274"/>
    <cellStyle name="Обычный 33" xfId="275"/>
    <cellStyle name="Обычный 36 3" xfId="276"/>
    <cellStyle name="Обычный 4" xfId="277"/>
    <cellStyle name="Обычный 4 2" xfId="278"/>
    <cellStyle name="Обычный 4 2 2" xfId="279"/>
    <cellStyle name="Обычный 4 2 3" xfId="280"/>
    <cellStyle name="Обычный 4 3" xfId="281"/>
    <cellStyle name="Обычный 5" xfId="282"/>
    <cellStyle name="Обычный 5 2" xfId="283"/>
    <cellStyle name="Обычный 5 3" xfId="284"/>
    <cellStyle name="Обычный 58" xfId="285"/>
    <cellStyle name="Обычный 6" xfId="286"/>
    <cellStyle name="Обычный 6 2" xfId="287"/>
    <cellStyle name="Обычный 6 3" xfId="288"/>
    <cellStyle name="Обычный 6 3 2" xfId="289"/>
    <cellStyle name="Обычный 6 3 3" xfId="290"/>
    <cellStyle name="Обычный 6 4" xfId="291"/>
    <cellStyle name="Обычный 7" xfId="292"/>
    <cellStyle name="Обычный 8" xfId="293"/>
    <cellStyle name="Обычный 8 2" xfId="294"/>
    <cellStyle name="Обычный 9" xfId="295"/>
    <cellStyle name="Обычный 9 2" xfId="296"/>
    <cellStyle name="Обычный 98" xfId="297"/>
    <cellStyle name="Плохой 2" xfId="298"/>
    <cellStyle name="Плохой 2 2" xfId="299"/>
    <cellStyle name="Плохой 3" xfId="300"/>
    <cellStyle name="Поле ввода" xfId="301"/>
    <cellStyle name="Пояснение 2" xfId="302"/>
    <cellStyle name="Пояснение 2 2" xfId="303"/>
    <cellStyle name="Пояснение 3" xfId="304"/>
    <cellStyle name="Примечание 2" xfId="305"/>
    <cellStyle name="Примечание 2 2" xfId="306"/>
    <cellStyle name="Примечание 2 3" xfId="307"/>
    <cellStyle name="Примечание 3" xfId="308"/>
    <cellStyle name="Примечание 4" xfId="309"/>
    <cellStyle name="Процентный 2" xfId="1"/>
    <cellStyle name="Процентный 2 2" xfId="310"/>
    <cellStyle name="Процентный 2 2 2" xfId="311"/>
    <cellStyle name="Процентный 2 3" xfId="312"/>
    <cellStyle name="Процентный 2 4" xfId="313"/>
    <cellStyle name="Связанная ячейка 2" xfId="314"/>
    <cellStyle name="Связанная ячейка 2 2" xfId="315"/>
    <cellStyle name="Связанная ячейка 3" xfId="316"/>
    <cellStyle name="Стиль 1" xfId="317"/>
    <cellStyle name="Стиль 1 2" xfId="318"/>
    <cellStyle name="Стиль 1 2 2" xfId="319"/>
    <cellStyle name="Стиль 1 20 2" xfId="320"/>
    <cellStyle name="Стиль 1 22" xfId="321"/>
    <cellStyle name="Стиль 1 3" xfId="322"/>
    <cellStyle name="Текст предупреждения 2" xfId="323"/>
    <cellStyle name="Текст предупреждения 2 2" xfId="324"/>
    <cellStyle name="Текст предупреждения 3" xfId="325"/>
    <cellStyle name="Текстовый" xfId="326"/>
    <cellStyle name="Тысячи [0]_3Com" xfId="327"/>
    <cellStyle name="Тысячи_3Com" xfId="328"/>
    <cellStyle name="Финансовый [0] 2" xfId="329"/>
    <cellStyle name="Финансовый 10" xfId="330"/>
    <cellStyle name="Финансовый 11" xfId="331"/>
    <cellStyle name="Финансовый 12" xfId="332"/>
    <cellStyle name="Финансовый 13" xfId="333"/>
    <cellStyle name="Финансовый 14" xfId="334"/>
    <cellStyle name="Финансовый 15" xfId="335"/>
    <cellStyle name="Финансовый 16" xfId="336"/>
    <cellStyle name="Финансовый 17" xfId="337"/>
    <cellStyle name="Финансовый 18" xfId="338"/>
    <cellStyle name="Финансовый 19" xfId="339"/>
    <cellStyle name="Финансовый 19 2" xfId="340"/>
    <cellStyle name="Финансовый 2" xfId="3"/>
    <cellStyle name="Финансовый 2 2" xfId="341"/>
    <cellStyle name="Финансовый 2 2 2" xfId="342"/>
    <cellStyle name="Финансовый 2 3" xfId="343"/>
    <cellStyle name="Финансовый 2 3 2" xfId="344"/>
    <cellStyle name="Финансовый 2 4" xfId="345"/>
    <cellStyle name="Финансовый 2 5" xfId="346"/>
    <cellStyle name="Финансовый 20" xfId="347"/>
    <cellStyle name="Финансовый 21" xfId="348"/>
    <cellStyle name="Финансовый 3" xfId="349"/>
    <cellStyle name="Финансовый 3 2" xfId="350"/>
    <cellStyle name="Финансовый 3 2 2" xfId="351"/>
    <cellStyle name="Финансовый 3 3" xfId="352"/>
    <cellStyle name="Финансовый 3 4" xfId="353"/>
    <cellStyle name="Финансовый 4" xfId="354"/>
    <cellStyle name="Финансовый 4 2" xfId="355"/>
    <cellStyle name="Финансовый 4 2 2" xfId="356"/>
    <cellStyle name="Финансовый 4 2 2 2" xfId="357"/>
    <cellStyle name="Финансовый 4 2 3" xfId="358"/>
    <cellStyle name="Финансовый 4 3" xfId="359"/>
    <cellStyle name="Финансовый 4 4" xfId="360"/>
    <cellStyle name="Финансовый 5" xfId="361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_свод УЕ по сетевым 2.1" xfId="5"/>
    <cellStyle name="Формула_свод УЕ по сетевым 2.2" xfId="8"/>
    <cellStyle name="ФормулаВБ" xfId="9"/>
    <cellStyle name="ФормулаНаКонтроль" xfId="373"/>
    <cellStyle name="Хороший 2" xfId="374"/>
    <cellStyle name="Хороший 2 2" xfId="375"/>
    <cellStyle name="Хороший 3" xfId="376"/>
    <cellStyle name="Џђћ–…ќ’ќ›‰" xfId="377"/>
    <cellStyle name="㼿㼿" xfId="378"/>
    <cellStyle name="㼿㼿?" xfId="379"/>
    <cellStyle name="㼿㼿_Укрупненный расчет  Варнав._3" xfId="380"/>
    <cellStyle name="㼿㼿㼿" xfId="381"/>
    <cellStyle name="㼿㼿㼿?" xfId="382"/>
    <cellStyle name="㼿㼿㼿_Укрупненный расчет  Варнав._6" xfId="383"/>
    <cellStyle name="㼿㼿㼿㼿" xfId="384"/>
    <cellStyle name="㼿㼿㼿㼿?" xfId="385"/>
    <cellStyle name="㼿㼿㼿㼿_Укрупненный расчет  Варнав._5" xfId="386"/>
    <cellStyle name="㼿㼿㼿㼿㼿" xfId="387"/>
    <cellStyle name="㼿㼿㼿㼿㼿?" xfId="388"/>
    <cellStyle name="㼿㼿㼿㼿㼿_Укрупненный расчет  Варнав." xfId="389"/>
    <cellStyle name="㼿㼿㼿㼿㼿㼿?" xfId="390"/>
    <cellStyle name="㼿㼿㼿㼿㼿㼿㼿㼿" xfId="391"/>
    <cellStyle name="㼿㼿㼿㼿㼿㼿㼿㼿㼿" xfId="392"/>
    <cellStyle name="㼿㼿㼿㼿㼿㼿㼿㼿㼿㼿" xfId="39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7;&#1086;%20&#1101;&#1082;&#1086;&#1085;&#1086;&#1084;&#1080;&#1082;&#1077;%20&#1080;%20&#1092;&#1080;&#1085;&#1072;&#1085;&#1089;&#1072;&#1084;/&#1057;&#1077;&#1082;&#1090;&#1086;&#1088;%20&#1087;&#1086;%20&#1058;&#1069;/&#1044;&#1086;&#1082;&#1091;&#1084;&#1077;&#1085;&#1090;&#1099;%20&#1069;&#1085;&#1077;&#1088;&#1075;&#1086;&#1089;&#1073;&#1099;&#1090;&#1072;/&#1044;&#1086;&#1082;&#1091;&#1084;&#1077;&#1085;&#1090;&#1099;%202018%20&#1075;&#1086;&#1076;&#1072;/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/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7"/>
  <sheetViews>
    <sheetView view="pageBreakPreview" topLeftCell="A10" zoomScale="75" zoomScaleNormal="75" zoomScaleSheetLayoutView="75" workbookViewId="0">
      <selection activeCell="D44" sqref="D44"/>
    </sheetView>
  </sheetViews>
  <sheetFormatPr defaultColWidth="9.140625" defaultRowHeight="15"/>
  <cols>
    <col min="1" max="1" width="6.42578125" style="5" customWidth="1"/>
    <col min="2" max="2" width="39.855468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231" t="s">
        <v>277</v>
      </c>
    </row>
    <row r="2" spans="1:18" s="4" customFormat="1" ht="15.75">
      <c r="A2" s="320" t="s">
        <v>62</v>
      </c>
      <c r="B2" s="320"/>
      <c r="C2" s="320"/>
      <c r="D2" s="321"/>
      <c r="E2" s="3"/>
      <c r="F2" s="3"/>
      <c r="G2" s="3" t="s">
        <v>302</v>
      </c>
      <c r="H2" s="3"/>
      <c r="J2" s="3"/>
      <c r="K2" s="3"/>
      <c r="L2" s="3" t="s">
        <v>302</v>
      </c>
      <c r="M2" s="3"/>
      <c r="O2" s="3"/>
      <c r="P2" s="3"/>
      <c r="Q2" s="3" t="s">
        <v>302</v>
      </c>
    </row>
    <row r="3" spans="1:18" ht="15.75" thickBot="1"/>
    <row r="4" spans="1:18" ht="12.75" customHeight="1">
      <c r="A4" s="322" t="s">
        <v>63</v>
      </c>
      <c r="B4" s="324" t="s">
        <v>64</v>
      </c>
      <c r="C4" s="326" t="s">
        <v>65</v>
      </c>
      <c r="D4" s="317" t="s">
        <v>342</v>
      </c>
      <c r="E4" s="318"/>
      <c r="F4" s="318"/>
      <c r="G4" s="318"/>
      <c r="H4" s="319"/>
      <c r="I4" s="317" t="s">
        <v>343</v>
      </c>
      <c r="J4" s="318"/>
      <c r="K4" s="318"/>
      <c r="L4" s="318"/>
      <c r="M4" s="319"/>
      <c r="N4" s="317" t="s">
        <v>344</v>
      </c>
      <c r="O4" s="318"/>
      <c r="P4" s="318"/>
      <c r="Q4" s="318"/>
      <c r="R4" s="319"/>
    </row>
    <row r="5" spans="1:18" s="5" customFormat="1">
      <c r="A5" s="323"/>
      <c r="B5" s="325"/>
      <c r="C5" s="327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328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88" t="s">
        <v>15</v>
      </c>
      <c r="B7" s="189" t="s">
        <v>66</v>
      </c>
      <c r="C7" s="190" t="s">
        <v>67</v>
      </c>
      <c r="D7" s="171">
        <f>D16</f>
        <v>306978.99400000001</v>
      </c>
      <c r="E7" s="172">
        <f>E16</f>
        <v>271252.76</v>
      </c>
      <c r="F7" s="172">
        <f>SUM(F11:F16)</f>
        <v>195937.416</v>
      </c>
      <c r="G7" s="172">
        <f>SUM(G11:G16)</f>
        <v>11091.870999999996</v>
      </c>
      <c r="H7" s="173"/>
      <c r="I7" s="171">
        <f>I16</f>
        <v>317939.13099999999</v>
      </c>
      <c r="J7" s="172">
        <f>J16</f>
        <v>275254.01699999999</v>
      </c>
      <c r="K7" s="172">
        <f>SUM(K11:K16)</f>
        <v>208249.55599999992</v>
      </c>
      <c r="L7" s="172">
        <f>SUM(L11:L16)</f>
        <v>17640.162999999931</v>
      </c>
      <c r="M7" s="173"/>
      <c r="N7" s="227">
        <f>N16</f>
        <v>624918.125</v>
      </c>
      <c r="O7" s="172">
        <f>O16</f>
        <v>546506.777</v>
      </c>
      <c r="P7" s="172">
        <f>SUM(P11:P16)</f>
        <v>404186.97199999995</v>
      </c>
      <c r="Q7" s="172">
        <f>SUM(Q11:Q16)</f>
        <v>28732.033999999927</v>
      </c>
      <c r="R7" s="173"/>
    </row>
    <row r="8" spans="1:18" s="4" customFormat="1">
      <c r="A8" s="191" t="s">
        <v>2</v>
      </c>
      <c r="B8" s="192" t="s">
        <v>68</v>
      </c>
      <c r="C8" s="193" t="s">
        <v>67</v>
      </c>
      <c r="D8" s="21"/>
      <c r="E8" s="174"/>
      <c r="F8" s="174">
        <f>F11</f>
        <v>161623.041</v>
      </c>
      <c r="G8" s="174">
        <f>G12</f>
        <v>9680.0119999999952</v>
      </c>
      <c r="H8" s="175"/>
      <c r="I8" s="21"/>
      <c r="J8" s="174"/>
      <c r="K8" s="174">
        <f>K11</f>
        <v>166854.84599999993</v>
      </c>
      <c r="L8" s="174">
        <f>L12</f>
        <v>16349.758999999933</v>
      </c>
      <c r="M8" s="175"/>
      <c r="N8" s="21"/>
      <c r="O8" s="174"/>
      <c r="P8" s="174">
        <f>P11</f>
        <v>328477.88699999993</v>
      </c>
      <c r="Q8" s="174">
        <f>Q12</f>
        <v>26029.770999999928</v>
      </c>
      <c r="R8" s="175"/>
    </row>
    <row r="9" spans="1:18">
      <c r="A9" s="191"/>
      <c r="B9" s="192" t="s">
        <v>69</v>
      </c>
      <c r="C9" s="194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91"/>
      <c r="B10" s="192" t="s">
        <v>70</v>
      </c>
      <c r="C10" s="193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91"/>
      <c r="B11" s="192" t="s">
        <v>6</v>
      </c>
      <c r="C11" s="193" t="s">
        <v>67</v>
      </c>
      <c r="D11" s="16"/>
      <c r="E11" s="195"/>
      <c r="F11" s="19">
        <f>E16-E22-E28-E32-E34</f>
        <v>161623.041</v>
      </c>
      <c r="G11" s="19"/>
      <c r="H11" s="20"/>
      <c r="I11" s="16"/>
      <c r="J11" s="195"/>
      <c r="K11" s="19">
        <f>J16-J22-J28-J32-J34</f>
        <v>166854.84599999993</v>
      </c>
      <c r="L11" s="19"/>
      <c r="M11" s="20"/>
      <c r="N11" s="16"/>
      <c r="O11" s="195"/>
      <c r="P11" s="19">
        <f>F11+K11</f>
        <v>328477.88699999993</v>
      </c>
      <c r="Q11" s="19"/>
      <c r="R11" s="20"/>
    </row>
    <row r="12" spans="1:18">
      <c r="A12" s="191"/>
      <c r="B12" s="192" t="s">
        <v>7</v>
      </c>
      <c r="C12" s="193" t="s">
        <v>67</v>
      </c>
      <c r="D12" s="16"/>
      <c r="E12" s="195"/>
      <c r="F12" s="195"/>
      <c r="G12" s="19">
        <f>F7-F22-F32-F34</f>
        <v>9680.0119999999952</v>
      </c>
      <c r="H12" s="20"/>
      <c r="I12" s="16"/>
      <c r="J12" s="195"/>
      <c r="K12" s="195"/>
      <c r="L12" s="19">
        <f>K7-K22-K32-K34</f>
        <v>16349.758999999933</v>
      </c>
      <c r="M12" s="20"/>
      <c r="N12" s="16"/>
      <c r="O12" s="195"/>
      <c r="P12" s="195"/>
      <c r="Q12" s="19">
        <f>G12+L12</f>
        <v>26029.770999999928</v>
      </c>
      <c r="R12" s="20"/>
    </row>
    <row r="13" spans="1:18">
      <c r="A13" s="191"/>
      <c r="B13" s="192" t="s">
        <v>8</v>
      </c>
      <c r="C13" s="193" t="s">
        <v>67</v>
      </c>
      <c r="D13" s="16"/>
      <c r="E13" s="195"/>
      <c r="F13" s="195"/>
      <c r="G13" s="195"/>
      <c r="H13" s="20"/>
      <c r="I13" s="16"/>
      <c r="J13" s="195"/>
      <c r="K13" s="195"/>
      <c r="L13" s="195"/>
      <c r="M13" s="20"/>
      <c r="N13" s="16"/>
      <c r="O13" s="195"/>
      <c r="P13" s="195"/>
      <c r="Q13" s="195"/>
      <c r="R13" s="20"/>
    </row>
    <row r="14" spans="1:18">
      <c r="A14" s="191" t="s">
        <v>3</v>
      </c>
      <c r="B14" s="192" t="s">
        <v>72</v>
      </c>
      <c r="C14" s="193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91" t="s">
        <v>4</v>
      </c>
      <c r="B15" s="192" t="s">
        <v>73</v>
      </c>
      <c r="C15" s="193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91" t="s">
        <v>5</v>
      </c>
      <c r="B16" s="192" t="s">
        <v>318</v>
      </c>
      <c r="C16" s="193" t="s">
        <v>67</v>
      </c>
      <c r="D16" s="21">
        <f>SUM(E16:G16)</f>
        <v>306978.99400000001</v>
      </c>
      <c r="E16" s="19">
        <v>271252.76</v>
      </c>
      <c r="F16" s="19">
        <v>34314.375</v>
      </c>
      <c r="G16" s="19">
        <v>1411.8589999999999</v>
      </c>
      <c r="H16" s="20"/>
      <c r="I16" s="21">
        <f>SUM(J16:L16)</f>
        <v>317939.13099999999</v>
      </c>
      <c r="J16" s="19">
        <v>275254.01699999999</v>
      </c>
      <c r="K16" s="19">
        <v>41394.71</v>
      </c>
      <c r="L16" s="19">
        <v>1290.404</v>
      </c>
      <c r="M16" s="20"/>
      <c r="N16" s="21">
        <f>O16+P16+Q16</f>
        <v>624918.125</v>
      </c>
      <c r="O16" s="19">
        <f t="shared" ref="O16:Q22" si="0">E16+J16</f>
        <v>546506.777</v>
      </c>
      <c r="P16" s="19">
        <f t="shared" si="0"/>
        <v>75709.084999999992</v>
      </c>
      <c r="Q16" s="19">
        <f t="shared" si="0"/>
        <v>2702.2629999999999</v>
      </c>
      <c r="R16" s="20"/>
    </row>
    <row r="17" spans="1:18" ht="16.5" customHeight="1">
      <c r="A17" s="191" t="s">
        <v>312</v>
      </c>
      <c r="B17" s="254" t="s">
        <v>305</v>
      </c>
      <c r="C17" s="193" t="s">
        <v>67</v>
      </c>
      <c r="D17" s="21">
        <f t="shared" ref="D17:D21" si="1">SUM(E17:G17)</f>
        <v>13090.066000000001</v>
      </c>
      <c r="E17" s="19">
        <v>13090.066000000001</v>
      </c>
      <c r="F17" s="19"/>
      <c r="G17" s="19"/>
      <c r="H17" s="222"/>
      <c r="I17" s="21">
        <f t="shared" ref="I17:I21" si="2">SUM(J17:L17)</f>
        <v>14873.619000000001</v>
      </c>
      <c r="J17" s="19">
        <v>14873.619000000001</v>
      </c>
      <c r="K17" s="19"/>
      <c r="L17" s="19"/>
      <c r="M17" s="222"/>
      <c r="N17" s="21">
        <f t="shared" ref="N17:N21" si="3">O17+P17+Q17</f>
        <v>27963.685000000001</v>
      </c>
      <c r="O17" s="19">
        <f t="shared" si="0"/>
        <v>27963.685000000001</v>
      </c>
      <c r="P17" s="19"/>
      <c r="Q17" s="19"/>
      <c r="R17" s="222"/>
    </row>
    <row r="18" spans="1:18" ht="18" customHeight="1">
      <c r="A18" s="191" t="s">
        <v>313</v>
      </c>
      <c r="B18" s="253" t="s">
        <v>345</v>
      </c>
      <c r="C18" s="193" t="s">
        <v>67</v>
      </c>
      <c r="D18" s="21">
        <f t="shared" si="1"/>
        <v>261521.26199999999</v>
      </c>
      <c r="E18" s="19">
        <v>226579.02299999999</v>
      </c>
      <c r="F18" s="19">
        <v>34018.303</v>
      </c>
      <c r="G18" s="19">
        <v>923.93600000000004</v>
      </c>
      <c r="H18" s="222"/>
      <c r="I18" s="21">
        <f t="shared" si="2"/>
        <v>276016.62099999998</v>
      </c>
      <c r="J18" s="19">
        <v>234064.399</v>
      </c>
      <c r="K18" s="19">
        <v>41073.487000000001</v>
      </c>
      <c r="L18" s="19">
        <v>878.73500000000001</v>
      </c>
      <c r="M18" s="222"/>
      <c r="N18" s="21">
        <f t="shared" si="3"/>
        <v>537537.88300000003</v>
      </c>
      <c r="O18" s="19">
        <f t="shared" si="0"/>
        <v>460643.42200000002</v>
      </c>
      <c r="P18" s="19">
        <f t="shared" ref="P18:P20" si="4">F18+K18</f>
        <v>75091.790000000008</v>
      </c>
      <c r="Q18" s="19">
        <f t="shared" ref="Q18" si="5">G18+L18</f>
        <v>1802.671</v>
      </c>
      <c r="R18" s="222"/>
    </row>
    <row r="19" spans="1:18" ht="14.25" customHeight="1">
      <c r="A19" s="191" t="s">
        <v>314</v>
      </c>
      <c r="B19" s="192" t="s">
        <v>306</v>
      </c>
      <c r="C19" s="193" t="s">
        <v>67</v>
      </c>
      <c r="D19" s="21">
        <f t="shared" si="1"/>
        <v>31583.670999999998</v>
      </c>
      <c r="E19" s="19">
        <v>31583.670999999998</v>
      </c>
      <c r="F19" s="19"/>
      <c r="G19" s="19"/>
      <c r="H19" s="222"/>
      <c r="I19" s="21">
        <f t="shared" si="2"/>
        <v>26315.999</v>
      </c>
      <c r="J19" s="19">
        <v>26315.999</v>
      </c>
      <c r="K19" s="19"/>
      <c r="L19" s="19"/>
      <c r="M19" s="222"/>
      <c r="N19" s="21">
        <f t="shared" si="3"/>
        <v>57899.67</v>
      </c>
      <c r="O19" s="19">
        <f t="shared" si="0"/>
        <v>57899.67</v>
      </c>
      <c r="P19" s="19"/>
      <c r="Q19" s="19"/>
      <c r="R19" s="222"/>
    </row>
    <row r="20" spans="1:18" ht="16.5" customHeight="1">
      <c r="A20" s="191" t="s">
        <v>315</v>
      </c>
      <c r="B20" s="192" t="s">
        <v>287</v>
      </c>
      <c r="C20" s="193" t="s">
        <v>67</v>
      </c>
      <c r="D20" s="21">
        <f t="shared" si="1"/>
        <v>296.072</v>
      </c>
      <c r="E20" s="19"/>
      <c r="F20" s="19">
        <v>296.072</v>
      </c>
      <c r="G20" s="19"/>
      <c r="H20" s="222"/>
      <c r="I20" s="21">
        <f t="shared" si="2"/>
        <v>321.22300000000001</v>
      </c>
      <c r="J20" s="19"/>
      <c r="K20" s="19">
        <v>321.22300000000001</v>
      </c>
      <c r="L20" s="19"/>
      <c r="M20" s="222"/>
      <c r="N20" s="21">
        <f t="shared" si="3"/>
        <v>617.29500000000007</v>
      </c>
      <c r="O20" s="19"/>
      <c r="P20" s="19">
        <f t="shared" si="4"/>
        <v>617.29500000000007</v>
      </c>
      <c r="Q20" s="19"/>
      <c r="R20" s="222"/>
    </row>
    <row r="21" spans="1:18" ht="15" customHeight="1">
      <c r="A21" s="191" t="s">
        <v>316</v>
      </c>
      <c r="B21" s="192" t="s">
        <v>317</v>
      </c>
      <c r="C21" s="193" t="s">
        <v>67</v>
      </c>
      <c r="D21" s="21">
        <f t="shared" si="1"/>
        <v>487.923</v>
      </c>
      <c r="E21" s="19"/>
      <c r="F21" s="19"/>
      <c r="G21" s="19">
        <v>487.923</v>
      </c>
      <c r="H21" s="222"/>
      <c r="I21" s="21">
        <f t="shared" si="2"/>
        <v>411.66899999999998</v>
      </c>
      <c r="J21" s="19"/>
      <c r="K21" s="19"/>
      <c r="L21" s="19">
        <v>411.66899999999998</v>
      </c>
      <c r="M21" s="222"/>
      <c r="N21" s="21">
        <f t="shared" si="3"/>
        <v>899.59199999999998</v>
      </c>
      <c r="O21" s="19"/>
      <c r="P21" s="19"/>
      <c r="Q21" s="19">
        <f t="shared" ref="Q21" si="6">G21+L21</f>
        <v>899.59199999999998</v>
      </c>
      <c r="R21" s="222"/>
    </row>
    <row r="22" spans="1:18" s="4" customFormat="1">
      <c r="A22" s="191" t="s">
        <v>19</v>
      </c>
      <c r="B22" s="192" t="s">
        <v>74</v>
      </c>
      <c r="C22" s="193" t="s">
        <v>67</v>
      </c>
      <c r="D22" s="21">
        <f>SUM(E22:G22)</f>
        <v>6565.4380000000001</v>
      </c>
      <c r="E22" s="174">
        <v>4659.9920000000002</v>
      </c>
      <c r="F22" s="174">
        <v>1892.876</v>
      </c>
      <c r="G22" s="174">
        <v>12.57</v>
      </c>
      <c r="H22" s="176"/>
      <c r="I22" s="21">
        <f>SUM(J22:L22)</f>
        <v>6254.7639999999992</v>
      </c>
      <c r="J22" s="174">
        <v>4441.6549999999997</v>
      </c>
      <c r="K22" s="174">
        <v>1801.145</v>
      </c>
      <c r="L22" s="174">
        <v>11.964</v>
      </c>
      <c r="M22" s="176"/>
      <c r="N22" s="21">
        <f>O22+P22+Q22</f>
        <v>12820.202000000001</v>
      </c>
      <c r="O22" s="174">
        <f t="shared" si="0"/>
        <v>9101.6470000000008</v>
      </c>
      <c r="P22" s="174">
        <f t="shared" si="0"/>
        <v>3694.0209999999997</v>
      </c>
      <c r="Q22" s="174">
        <f t="shared" si="0"/>
        <v>24.533999999999999</v>
      </c>
      <c r="R22" s="176"/>
    </row>
    <row r="23" spans="1:18" s="4" customFormat="1">
      <c r="A23" s="191"/>
      <c r="B23" s="192" t="s">
        <v>75</v>
      </c>
      <c r="C23" s="193" t="s">
        <v>1</v>
      </c>
      <c r="D23" s="235">
        <f>D22/D16*100</f>
        <v>2.138725492077155</v>
      </c>
      <c r="E23" s="236">
        <f>E22/E7*100</f>
        <v>1.7179519205629465</v>
      </c>
      <c r="F23" s="236">
        <f t="shared" ref="F23:G23" si="7">F22/F7*100</f>
        <v>0.9660615305858683</v>
      </c>
      <c r="G23" s="236">
        <f t="shared" si="7"/>
        <v>0.11332623684498319</v>
      </c>
      <c r="H23" s="237"/>
      <c r="I23" s="235">
        <f>I22/I16*100</f>
        <v>1.9672834798054473</v>
      </c>
      <c r="J23" s="236">
        <f>J22/J7*100</f>
        <v>1.6136567409295972</v>
      </c>
      <c r="K23" s="236">
        <f t="shared" ref="K23" si="8">K22/K7*100</f>
        <v>0.86489740223023603</v>
      </c>
      <c r="L23" s="236">
        <f t="shared" ref="L23" si="9">L22/L7*100</f>
        <v>6.7822502547170607E-2</v>
      </c>
      <c r="M23" s="237"/>
      <c r="N23" s="235">
        <f>N22/N16*100</f>
        <v>2.0515010666397298</v>
      </c>
      <c r="O23" s="236">
        <f>O22/O7*100</f>
        <v>1.6654225314391666</v>
      </c>
      <c r="P23" s="236">
        <f t="shared" ref="P23" si="10">P22/P7*100</f>
        <v>0.91393866104125687</v>
      </c>
      <c r="Q23" s="236">
        <f t="shared" ref="Q23" si="11">Q22/Q7*100</f>
        <v>8.53890121388554E-2</v>
      </c>
      <c r="R23" s="175"/>
    </row>
    <row r="24" spans="1:18" s="4" customFormat="1" ht="28.5" customHeight="1">
      <c r="A24" s="196" t="s">
        <v>76</v>
      </c>
      <c r="B24" s="192" t="s">
        <v>77</v>
      </c>
      <c r="C24" s="193" t="s">
        <v>67</v>
      </c>
      <c r="D24" s="21"/>
      <c r="E24" s="174"/>
      <c r="F24" s="174"/>
      <c r="G24" s="174"/>
      <c r="H24" s="175"/>
      <c r="I24" s="21"/>
      <c r="J24" s="174"/>
      <c r="K24" s="174"/>
      <c r="L24" s="174"/>
      <c r="M24" s="175"/>
      <c r="N24" s="21"/>
      <c r="O24" s="174"/>
      <c r="P24" s="174"/>
      <c r="Q24" s="174"/>
      <c r="R24" s="175"/>
    </row>
    <row r="25" spans="1:18" s="4" customFormat="1" ht="45" customHeight="1">
      <c r="A25" s="196" t="s">
        <v>78</v>
      </c>
      <c r="B25" s="192" t="s">
        <v>79</v>
      </c>
      <c r="C25" s="193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96" t="s">
        <v>80</v>
      </c>
      <c r="B26" s="192" t="s">
        <v>81</v>
      </c>
      <c r="C26" s="193" t="s">
        <v>67</v>
      </c>
      <c r="D26" s="21">
        <f>E26+F26+G26</f>
        <v>6565.4380000000001</v>
      </c>
      <c r="E26" s="19">
        <f>E22</f>
        <v>4659.9920000000002</v>
      </c>
      <c r="F26" s="19">
        <f t="shared" ref="F26:G26" si="12">F22</f>
        <v>1892.876</v>
      </c>
      <c r="G26" s="19">
        <f t="shared" si="12"/>
        <v>12.57</v>
      </c>
      <c r="H26" s="20"/>
      <c r="I26" s="21">
        <f>SUM(J26:L26)</f>
        <v>6254.7639999999992</v>
      </c>
      <c r="J26" s="19">
        <f>J22</f>
        <v>4441.6549999999997</v>
      </c>
      <c r="K26" s="19">
        <f t="shared" ref="K26:L26" si="13">K22</f>
        <v>1801.145</v>
      </c>
      <c r="L26" s="19">
        <f t="shared" si="13"/>
        <v>11.964</v>
      </c>
      <c r="M26" s="20"/>
      <c r="N26" s="21">
        <f t="shared" ref="N26:N28" si="14">O26+P26+Q26</f>
        <v>12820.202000000001</v>
      </c>
      <c r="O26" s="19">
        <f>O22</f>
        <v>9101.6470000000008</v>
      </c>
      <c r="P26" s="19">
        <f t="shared" ref="P26:Q26" si="15">P22</f>
        <v>3694.0209999999997</v>
      </c>
      <c r="Q26" s="19">
        <f t="shared" si="15"/>
        <v>24.533999999999999</v>
      </c>
      <c r="R26" s="20"/>
    </row>
    <row r="27" spans="1:18" s="4" customFormat="1" ht="30">
      <c r="A27" s="196" t="s">
        <v>82</v>
      </c>
      <c r="B27" s="192" t="s">
        <v>278</v>
      </c>
      <c r="C27" s="193" t="s">
        <v>67</v>
      </c>
      <c r="D27" s="21">
        <f>E27+F27+G27</f>
        <v>6565.4380000000001</v>
      </c>
      <c r="E27" s="19">
        <f>E26</f>
        <v>4659.9920000000002</v>
      </c>
      <c r="F27" s="19">
        <f t="shared" ref="F27:G27" si="16">F26</f>
        <v>1892.876</v>
      </c>
      <c r="G27" s="19">
        <f t="shared" si="16"/>
        <v>12.57</v>
      </c>
      <c r="H27" s="20"/>
      <c r="I27" s="21">
        <f>SUM(J27:L27)</f>
        <v>6254.7639999999992</v>
      </c>
      <c r="J27" s="19">
        <f>J26</f>
        <v>4441.6549999999997</v>
      </c>
      <c r="K27" s="19">
        <f t="shared" ref="K27:L27" si="17">K26</f>
        <v>1801.145</v>
      </c>
      <c r="L27" s="19">
        <f t="shared" si="17"/>
        <v>11.964</v>
      </c>
      <c r="M27" s="222"/>
      <c r="N27" s="21">
        <f t="shared" si="14"/>
        <v>12820.202000000001</v>
      </c>
      <c r="O27" s="19">
        <f t="shared" ref="O27:O28" si="18">E27+J27</f>
        <v>9101.6470000000008</v>
      </c>
      <c r="P27" s="19">
        <f t="shared" ref="P27" si="19">F27+K27</f>
        <v>3694.0209999999997</v>
      </c>
      <c r="Q27" s="19">
        <f t="shared" ref="Q27:Q29" si="20">G27+L27</f>
        <v>24.533999999999999</v>
      </c>
      <c r="R27" s="20"/>
    </row>
    <row r="28" spans="1:18" s="4" customFormat="1" ht="30">
      <c r="A28" s="191" t="s">
        <v>21</v>
      </c>
      <c r="B28" s="192" t="s">
        <v>83</v>
      </c>
      <c r="C28" s="193" t="s">
        <v>67</v>
      </c>
      <c r="D28" s="21">
        <f>SUM(E28:G28)</f>
        <v>328.74</v>
      </c>
      <c r="E28" s="19">
        <v>160.63</v>
      </c>
      <c r="F28" s="19"/>
      <c r="G28" s="19">
        <v>168.11</v>
      </c>
      <c r="H28" s="20"/>
      <c r="I28" s="21">
        <f>J28+L28</f>
        <v>329.96199999999999</v>
      </c>
      <c r="J28" s="19">
        <v>141.07900000000001</v>
      </c>
      <c r="K28" s="19"/>
      <c r="L28" s="19">
        <v>188.88300000000001</v>
      </c>
      <c r="M28" s="222"/>
      <c r="N28" s="21">
        <f t="shared" si="14"/>
        <v>658.702</v>
      </c>
      <c r="O28" s="19">
        <f t="shared" si="18"/>
        <v>301.709</v>
      </c>
      <c r="P28" s="19"/>
      <c r="Q28" s="19">
        <f t="shared" si="20"/>
        <v>356.99300000000005</v>
      </c>
      <c r="R28" s="20"/>
    </row>
    <row r="29" spans="1:18">
      <c r="A29" s="191" t="s">
        <v>22</v>
      </c>
      <c r="B29" s="192" t="s">
        <v>84</v>
      </c>
      <c r="C29" s="193" t="s">
        <v>67</v>
      </c>
      <c r="D29" s="21">
        <f>SUM(E29:G29)</f>
        <v>300084.81599999999</v>
      </c>
      <c r="E29" s="174">
        <f>SUM(E32:E34)</f>
        <v>104809.09700000001</v>
      </c>
      <c r="F29" s="174">
        <f t="shared" ref="F29:G29" si="21">SUM(F32:F34)</f>
        <v>184364.52800000002</v>
      </c>
      <c r="G29" s="174">
        <f t="shared" si="21"/>
        <v>10911.191000000001</v>
      </c>
      <c r="H29" s="175"/>
      <c r="I29" s="21">
        <f>SUM(J29:L29)</f>
        <v>311354.40500000003</v>
      </c>
      <c r="J29" s="174">
        <f>SUM(J32:J35)</f>
        <v>103816.43700000001</v>
      </c>
      <c r="K29" s="174">
        <f t="shared" ref="K29:L29" si="22">SUM(K32:K35)</f>
        <v>190098.652</v>
      </c>
      <c r="L29" s="174">
        <f t="shared" si="22"/>
        <v>17439.315999999999</v>
      </c>
      <c r="M29" s="223"/>
      <c r="N29" s="225">
        <f>D29+I29</f>
        <v>611439.22100000002</v>
      </c>
      <c r="O29" s="174">
        <f>E29+J29</f>
        <v>208625.53400000001</v>
      </c>
      <c r="P29" s="174">
        <f t="shared" ref="P29" si="23">F29+K29</f>
        <v>374463.18000000005</v>
      </c>
      <c r="Q29" s="174">
        <f t="shared" si="20"/>
        <v>28350.506999999998</v>
      </c>
      <c r="R29" s="175"/>
    </row>
    <row r="30" spans="1:18">
      <c r="A30" s="191" t="s">
        <v>10</v>
      </c>
      <c r="B30" s="192" t="s">
        <v>85</v>
      </c>
      <c r="C30" s="193" t="s">
        <v>67</v>
      </c>
      <c r="D30" s="21">
        <f>SUM(E30:G30)</f>
        <v>300084.81599999999</v>
      </c>
      <c r="E30" s="174">
        <f>П1.6!D44</f>
        <v>104809.09699999999</v>
      </c>
      <c r="F30" s="174">
        <f>П1.6!E44</f>
        <v>184364.52800000002</v>
      </c>
      <c r="G30" s="174">
        <f>П1.6!F44</f>
        <v>10911.191000000001</v>
      </c>
      <c r="H30" s="176"/>
      <c r="I30" s="21">
        <f>SUM(J30:L30)</f>
        <v>311354.40499999997</v>
      </c>
      <c r="J30" s="174">
        <f>П1.6!D87</f>
        <v>103816.43699999999</v>
      </c>
      <c r="K30" s="174">
        <f>П1.6!E87</f>
        <v>190098.652</v>
      </c>
      <c r="L30" s="174">
        <f>П1.6!F87</f>
        <v>17439.315999999999</v>
      </c>
      <c r="M30" s="223"/>
      <c r="N30" s="225">
        <f>SUM(O30:Q30)</f>
        <v>611439.22100000002</v>
      </c>
      <c r="O30" s="174">
        <f>П1.6!D130</f>
        <v>208625.53399999999</v>
      </c>
      <c r="P30" s="174">
        <f>П1.6!E130</f>
        <v>374463.18000000005</v>
      </c>
      <c r="Q30" s="174">
        <f>П1.6!F130</f>
        <v>28350.507000000001</v>
      </c>
      <c r="R30" s="176"/>
    </row>
    <row r="31" spans="1:18">
      <c r="A31" s="191"/>
      <c r="B31" s="192" t="s">
        <v>86</v>
      </c>
      <c r="C31" s="193" t="s">
        <v>67</v>
      </c>
      <c r="D31" s="16"/>
      <c r="E31" s="17"/>
      <c r="F31" s="17"/>
      <c r="G31" s="17"/>
      <c r="H31" s="18"/>
      <c r="I31" s="16"/>
      <c r="J31" s="17"/>
      <c r="K31" s="17"/>
      <c r="L31" s="17"/>
      <c r="M31" s="224"/>
      <c r="N31" s="226"/>
      <c r="O31" s="17"/>
      <c r="P31" s="17"/>
      <c r="Q31" s="17"/>
      <c r="R31" s="18"/>
    </row>
    <row r="32" spans="1:18" ht="36.75" customHeight="1">
      <c r="A32" s="191"/>
      <c r="B32" s="197" t="s">
        <v>87</v>
      </c>
      <c r="C32" s="193" t="s">
        <v>67</v>
      </c>
      <c r="D32" s="21">
        <f>SUM(E32:G32)</f>
        <v>266322.96100000001</v>
      </c>
      <c r="E32" s="19">
        <v>103444.86500000001</v>
      </c>
      <c r="F32" s="19">
        <v>152039.62100000001</v>
      </c>
      <c r="G32" s="19">
        <v>10838.475</v>
      </c>
      <c r="H32" s="20"/>
      <c r="I32" s="21">
        <f>SUM(J32:L32)</f>
        <v>275802.53400000004</v>
      </c>
      <c r="J32" s="19">
        <v>101175.09600000001</v>
      </c>
      <c r="K32" s="19">
        <v>157392.978</v>
      </c>
      <c r="L32" s="19">
        <v>17234.46</v>
      </c>
      <c r="M32" s="222"/>
      <c r="N32" s="21">
        <f t="shared" ref="N32:N34" si="24">O32+P32+Q32</f>
        <v>542125.49500000011</v>
      </c>
      <c r="O32" s="19">
        <f t="shared" ref="O32:O34" si="25">E32+J32</f>
        <v>204619.96100000001</v>
      </c>
      <c r="P32" s="19">
        <f t="shared" ref="P32:P34" si="26">F32+K32</f>
        <v>309432.59900000005</v>
      </c>
      <c r="Q32" s="19">
        <f t="shared" ref="Q32:Q34" si="27">G32+L32</f>
        <v>28072.934999999998</v>
      </c>
      <c r="R32" s="20"/>
    </row>
    <row r="33" spans="1:18" ht="30">
      <c r="A33" s="191"/>
      <c r="B33" s="197" t="s">
        <v>88</v>
      </c>
      <c r="C33" s="193" t="s">
        <v>67</v>
      </c>
      <c r="D33" s="21"/>
      <c r="E33" s="19"/>
      <c r="F33" s="19"/>
      <c r="G33" s="19"/>
      <c r="H33" s="20"/>
      <c r="I33" s="21"/>
      <c r="J33" s="19"/>
      <c r="K33" s="19"/>
      <c r="L33" s="19"/>
      <c r="M33" s="20"/>
      <c r="N33" s="21"/>
      <c r="O33" s="19"/>
      <c r="P33" s="19"/>
      <c r="Q33" s="19"/>
      <c r="R33" s="20"/>
    </row>
    <row r="34" spans="1:18" ht="30">
      <c r="A34" s="198" t="s">
        <v>11</v>
      </c>
      <c r="B34" s="192" t="s">
        <v>89</v>
      </c>
      <c r="C34" s="193" t="s">
        <v>67</v>
      </c>
      <c r="D34" s="21">
        <f>SUM(E34:G34)</f>
        <v>33761.854999999996</v>
      </c>
      <c r="E34" s="19">
        <v>1364.232</v>
      </c>
      <c r="F34" s="19">
        <v>32324.906999999999</v>
      </c>
      <c r="G34" s="19">
        <v>72.715999999999994</v>
      </c>
      <c r="H34" s="20"/>
      <c r="I34" s="21">
        <f>SUM(J34:L34)</f>
        <v>35551.870999999999</v>
      </c>
      <c r="J34" s="19">
        <v>2641.3409999999999</v>
      </c>
      <c r="K34" s="19">
        <v>32705.673999999999</v>
      </c>
      <c r="L34" s="19">
        <v>204.85599999999999</v>
      </c>
      <c r="M34" s="20"/>
      <c r="N34" s="21">
        <f t="shared" si="24"/>
        <v>69313.725999999995</v>
      </c>
      <c r="O34" s="19">
        <f t="shared" si="25"/>
        <v>4005.5729999999999</v>
      </c>
      <c r="P34" s="19">
        <f t="shared" si="26"/>
        <v>65030.580999999998</v>
      </c>
      <c r="Q34" s="19">
        <f t="shared" si="27"/>
        <v>277.572</v>
      </c>
      <c r="R34" s="20"/>
    </row>
    <row r="35" spans="1:18" s="4" customFormat="1" ht="15.75" customHeight="1">
      <c r="A35" s="191" t="s">
        <v>61</v>
      </c>
      <c r="B35" s="192" t="s">
        <v>90</v>
      </c>
      <c r="C35" s="193" t="s">
        <v>67</v>
      </c>
      <c r="D35" s="21"/>
      <c r="E35" s="19"/>
      <c r="F35" s="19"/>
      <c r="G35" s="19"/>
      <c r="H35" s="20"/>
      <c r="I35" s="21"/>
      <c r="J35" s="19"/>
      <c r="K35" s="19"/>
      <c r="L35" s="19"/>
      <c r="M35" s="20"/>
      <c r="N35" s="21"/>
      <c r="O35" s="19"/>
      <c r="P35" s="19"/>
      <c r="Q35" s="19"/>
      <c r="R35" s="20"/>
    </row>
    <row r="36" spans="1:18" s="4" customFormat="1">
      <c r="A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38"/>
  <sheetViews>
    <sheetView view="pageBreakPreview" topLeftCell="C6" zoomScaleNormal="75" zoomScaleSheetLayoutView="100" workbookViewId="0">
      <selection activeCell="C37" sqref="A37:XFD38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232" t="str">
        <f>П1.4!B1</f>
        <v>ОАО "КузбассЭлектро"</v>
      </c>
      <c r="C1" s="230"/>
    </row>
    <row r="2" spans="1:22" s="22" customFormat="1" ht="15.75">
      <c r="A2" s="329" t="s">
        <v>276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22" t="s">
        <v>301</v>
      </c>
    </row>
    <row r="3" spans="1:22" ht="13.5" thickBot="1"/>
    <row r="4" spans="1:22" s="25" customFormat="1" ht="15">
      <c r="A4" s="331" t="s">
        <v>63</v>
      </c>
      <c r="B4" s="332" t="s">
        <v>64</v>
      </c>
      <c r="C4" s="334" t="s">
        <v>65</v>
      </c>
      <c r="D4" s="317" t="str">
        <f>П1.4!D4:H4</f>
        <v>1 полугодие 2020г. ФАКТ</v>
      </c>
      <c r="E4" s="318"/>
      <c r="F4" s="318"/>
      <c r="G4" s="318"/>
      <c r="H4" s="319"/>
      <c r="I4" s="317" t="str">
        <f>П1.4!I4:M4</f>
        <v>2 полугодие 2020г. ФАКТ</v>
      </c>
      <c r="J4" s="318"/>
      <c r="K4" s="318"/>
      <c r="L4" s="318"/>
      <c r="M4" s="319"/>
      <c r="N4" s="317" t="str">
        <f>П1.4!N4:R4</f>
        <v>2020 год ФАКТ</v>
      </c>
      <c r="O4" s="318"/>
      <c r="P4" s="318"/>
      <c r="Q4" s="318"/>
      <c r="R4" s="319"/>
    </row>
    <row r="5" spans="1:22" s="29" customFormat="1">
      <c r="A5" s="331"/>
      <c r="B5" s="333"/>
      <c r="C5" s="335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336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199" t="s">
        <v>15</v>
      </c>
      <c r="B7" s="200" t="s">
        <v>91</v>
      </c>
      <c r="C7" s="201" t="s">
        <v>92</v>
      </c>
      <c r="D7" s="177">
        <f>D16</f>
        <v>83.353999999999999</v>
      </c>
      <c r="E7" s="177">
        <f t="shared" ref="E7" si="0">E12+E16</f>
        <v>70.320999999999998</v>
      </c>
      <c r="F7" s="177">
        <f>F11+F16</f>
        <v>52.970000000000006</v>
      </c>
      <c r="G7" s="177">
        <f>G12+G16</f>
        <v>2.9040000000000097</v>
      </c>
      <c r="H7" s="178"/>
      <c r="I7" s="177">
        <f>I16</f>
        <v>86.546999999999997</v>
      </c>
      <c r="J7" s="177">
        <f t="shared" ref="J7" si="1">J12+J16</f>
        <v>73.313999999999993</v>
      </c>
      <c r="K7" s="177">
        <f>K11+K16</f>
        <v>54.807999999999993</v>
      </c>
      <c r="L7" s="177">
        <f>L12+L16</f>
        <v>4.6239999999999952</v>
      </c>
      <c r="M7" s="178"/>
      <c r="N7" s="177">
        <f>N16</f>
        <v>84.950999999999993</v>
      </c>
      <c r="O7" s="177">
        <f t="shared" ref="O7" si="2">O12+O16</f>
        <v>71.816999999999993</v>
      </c>
      <c r="P7" s="177">
        <f>P11+P16+0.001</f>
        <v>53.888999999999989</v>
      </c>
      <c r="Q7" s="177">
        <f>Q12+Q16+0.001</f>
        <v>3.7654999999999861</v>
      </c>
      <c r="R7" s="178"/>
      <c r="S7" s="35">
        <f>(D7*6+I7*6)/12</f>
        <v>84.950499999999991</v>
      </c>
      <c r="T7" s="35">
        <f t="shared" ref="T7:V27" si="3">(E7*6+J7*6)/12</f>
        <v>71.817499999999995</v>
      </c>
      <c r="U7" s="35">
        <f t="shared" si="3"/>
        <v>53.889000000000003</v>
      </c>
      <c r="V7" s="35">
        <f t="shared" si="3"/>
        <v>3.7640000000000025</v>
      </c>
    </row>
    <row r="8" spans="1:22" s="35" customFormat="1">
      <c r="A8" s="202" t="s">
        <v>2</v>
      </c>
      <c r="B8" s="203" t="s">
        <v>68</v>
      </c>
      <c r="C8" s="201" t="s">
        <v>92</v>
      </c>
      <c r="D8" s="41"/>
      <c r="E8" s="179"/>
      <c r="F8" s="179">
        <f>F11</f>
        <v>40.288000000000004</v>
      </c>
      <c r="G8" s="179">
        <f>G12</f>
        <v>2.5530000000000097</v>
      </c>
      <c r="H8" s="180"/>
      <c r="I8" s="41"/>
      <c r="J8" s="179"/>
      <c r="K8" s="179">
        <f>K11</f>
        <v>41.914999999999992</v>
      </c>
      <c r="L8" s="179">
        <f>L12</f>
        <v>4.2839999999999954</v>
      </c>
      <c r="M8" s="180"/>
      <c r="N8" s="41"/>
      <c r="O8" s="179"/>
      <c r="P8" s="179">
        <f>P11</f>
        <v>41.10049999999999</v>
      </c>
      <c r="Q8" s="179">
        <f>Q12</f>
        <v>3.4189999999999863</v>
      </c>
      <c r="R8" s="180"/>
      <c r="S8" s="35">
        <f t="shared" ref="S8:S35" si="4">(D8*6+I8*6)/12</f>
        <v>0</v>
      </c>
      <c r="T8" s="35">
        <f t="shared" si="3"/>
        <v>0</v>
      </c>
      <c r="U8" s="35">
        <f t="shared" si="3"/>
        <v>41.101499999999994</v>
      </c>
      <c r="V8" s="35">
        <f t="shared" si="3"/>
        <v>3.418500000000003</v>
      </c>
    </row>
    <row r="9" spans="1:22">
      <c r="A9" s="204"/>
      <c r="B9" s="205" t="s">
        <v>69</v>
      </c>
      <c r="C9" s="206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204"/>
      <c r="B10" s="205" t="s">
        <v>70</v>
      </c>
      <c r="C10" s="206" t="s">
        <v>92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204"/>
      <c r="B11" s="205" t="s">
        <v>6</v>
      </c>
      <c r="C11" s="206" t="s">
        <v>92</v>
      </c>
      <c r="D11" s="36"/>
      <c r="E11" s="207"/>
      <c r="F11" s="39">
        <f>E16-E22-E28-E32-E35</f>
        <v>40.288000000000004</v>
      </c>
      <c r="G11" s="39"/>
      <c r="H11" s="40"/>
      <c r="I11" s="36"/>
      <c r="J11" s="207"/>
      <c r="K11" s="39">
        <f>J16-J22-J28-J32-J35</f>
        <v>41.914999999999992</v>
      </c>
      <c r="L11" s="39"/>
      <c r="M11" s="40"/>
      <c r="N11" s="36"/>
      <c r="O11" s="207"/>
      <c r="P11" s="39">
        <f>O16-O22-O28-O32-O35-0.001</f>
        <v>41.10049999999999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41.101499999999994</v>
      </c>
      <c r="V11" s="35">
        <f t="shared" si="3"/>
        <v>0</v>
      </c>
    </row>
    <row r="12" spans="1:22">
      <c r="A12" s="204"/>
      <c r="B12" s="205" t="s">
        <v>7</v>
      </c>
      <c r="C12" s="206" t="s">
        <v>92</v>
      </c>
      <c r="D12" s="36"/>
      <c r="E12" s="207"/>
      <c r="F12" s="207"/>
      <c r="G12" s="39">
        <f>F7-F22-F32-F35</f>
        <v>2.5530000000000097</v>
      </c>
      <c r="H12" s="40"/>
      <c r="I12" s="36"/>
      <c r="J12" s="207"/>
      <c r="K12" s="207"/>
      <c r="L12" s="39">
        <f>K7-K22-K32-K35</f>
        <v>4.2839999999999954</v>
      </c>
      <c r="M12" s="40"/>
      <c r="N12" s="36"/>
      <c r="O12" s="207"/>
      <c r="P12" s="207"/>
      <c r="Q12" s="39">
        <f>P7-P22-P32-P35</f>
        <v>3.4189999999999863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3.418500000000003</v>
      </c>
    </row>
    <row r="13" spans="1:22">
      <c r="A13" s="204"/>
      <c r="B13" s="205" t="s">
        <v>8</v>
      </c>
      <c r="C13" s="206" t="s">
        <v>92</v>
      </c>
      <c r="D13" s="36"/>
      <c r="E13" s="207"/>
      <c r="F13" s="207"/>
      <c r="G13" s="207"/>
      <c r="H13" s="40"/>
      <c r="I13" s="36"/>
      <c r="J13" s="207"/>
      <c r="K13" s="207"/>
      <c r="L13" s="207"/>
      <c r="M13" s="40"/>
      <c r="N13" s="36"/>
      <c r="O13" s="207"/>
      <c r="P13" s="207"/>
      <c r="Q13" s="207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204" t="s">
        <v>3</v>
      </c>
      <c r="B14" s="192" t="s">
        <v>93</v>
      </c>
      <c r="C14" s="206" t="s">
        <v>92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204" t="s">
        <v>4</v>
      </c>
      <c r="B15" s="192" t="s">
        <v>13</v>
      </c>
      <c r="C15" s="206" t="s">
        <v>92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204" t="s">
        <v>5</v>
      </c>
      <c r="B16" s="192" t="s">
        <v>94</v>
      </c>
      <c r="C16" s="206" t="s">
        <v>92</v>
      </c>
      <c r="D16" s="41">
        <f>E16+F16+G16</f>
        <v>83.353999999999999</v>
      </c>
      <c r="E16" s="39">
        <v>70.320999999999998</v>
      </c>
      <c r="F16" s="39">
        <v>12.682</v>
      </c>
      <c r="G16" s="39">
        <v>0.35099999999999998</v>
      </c>
      <c r="H16" s="40"/>
      <c r="I16" s="41">
        <f>J16+K16+L16</f>
        <v>86.546999999999997</v>
      </c>
      <c r="J16" s="39">
        <v>73.313999999999993</v>
      </c>
      <c r="K16" s="39">
        <f>SUM(K17:K21)</f>
        <v>12.893000000000001</v>
      </c>
      <c r="L16" s="39">
        <f>SUM(L17:L21)</f>
        <v>0.34</v>
      </c>
      <c r="M16" s="40"/>
      <c r="N16" s="41">
        <f>O16+P16+Q16+0.001</f>
        <v>84.950999999999993</v>
      </c>
      <c r="O16" s="39">
        <v>71.816999999999993</v>
      </c>
      <c r="P16" s="39">
        <f t="shared" ref="P16:Q16" si="5">SUM(P17:P21)</f>
        <v>12.7875</v>
      </c>
      <c r="Q16" s="39">
        <f t="shared" si="5"/>
        <v>0.34550000000000003</v>
      </c>
      <c r="R16" s="40"/>
      <c r="S16" s="35">
        <f t="shared" si="4"/>
        <v>84.950499999999991</v>
      </c>
      <c r="T16" s="35">
        <f t="shared" si="3"/>
        <v>71.817499999999995</v>
      </c>
      <c r="U16" s="35">
        <f t="shared" si="3"/>
        <v>12.7875</v>
      </c>
      <c r="V16" s="35">
        <f t="shared" si="3"/>
        <v>0.34549999999999997</v>
      </c>
    </row>
    <row r="17" spans="1:22" ht="15">
      <c r="A17" s="191" t="s">
        <v>312</v>
      </c>
      <c r="B17" s="254" t="s">
        <v>305</v>
      </c>
      <c r="C17" s="206" t="s">
        <v>92</v>
      </c>
      <c r="D17" s="41">
        <f t="shared" ref="D17:D21" si="6">E17+F17+G17</f>
        <v>6.1749999999999998</v>
      </c>
      <c r="E17" s="39">
        <v>6.1749999999999998</v>
      </c>
      <c r="F17" s="39"/>
      <c r="G17" s="39"/>
      <c r="H17" s="40"/>
      <c r="I17" s="41">
        <f t="shared" ref="I17:I21" si="7">J17+K17+L17</f>
        <v>6.1749999999999998</v>
      </c>
      <c r="J17" s="39">
        <v>6.1749999999999998</v>
      </c>
      <c r="K17" s="39"/>
      <c r="L17" s="39"/>
      <c r="M17" s="40"/>
      <c r="N17" s="41">
        <f t="shared" ref="N17:N21" si="8">O17+P17+Q17</f>
        <v>6.1749999999999998</v>
      </c>
      <c r="O17" s="39">
        <v>6.1749999999999998</v>
      </c>
      <c r="P17" s="39"/>
      <c r="Q17" s="39"/>
      <c r="R17" s="40"/>
      <c r="S17" s="35"/>
      <c r="T17" s="35"/>
      <c r="U17" s="35"/>
      <c r="V17" s="35"/>
    </row>
    <row r="18" spans="1:22" ht="15">
      <c r="A18" s="191" t="s">
        <v>313</v>
      </c>
      <c r="B18" s="255" t="s">
        <v>345</v>
      </c>
      <c r="C18" s="206" t="s">
        <v>92</v>
      </c>
      <c r="D18" s="41">
        <f t="shared" si="6"/>
        <v>69.125999999999991</v>
      </c>
      <c r="E18" s="39">
        <v>56.335999999999999</v>
      </c>
      <c r="F18" s="39">
        <v>12.558999999999999</v>
      </c>
      <c r="G18" s="39">
        <v>0.23100000000000001</v>
      </c>
      <c r="H18" s="40"/>
      <c r="I18" s="41">
        <f t="shared" si="7"/>
        <v>73.340999999999994</v>
      </c>
      <c r="J18" s="39">
        <v>60.328000000000003</v>
      </c>
      <c r="K18" s="39">
        <v>12.779</v>
      </c>
      <c r="L18" s="39">
        <v>0.23400000000000001</v>
      </c>
      <c r="M18" s="40"/>
      <c r="N18" s="41">
        <f>O18+P18+Q18</f>
        <v>71.233500000000006</v>
      </c>
      <c r="O18" s="39">
        <f t="shared" ref="O18" si="9">(E18+J18)/2</f>
        <v>58.332000000000001</v>
      </c>
      <c r="P18" s="39">
        <f t="shared" ref="P18:P20" si="10">(F18+K18)/2</f>
        <v>12.669</v>
      </c>
      <c r="Q18" s="39">
        <f t="shared" ref="Q18" si="11">(G18+L18)/2</f>
        <v>0.23250000000000001</v>
      </c>
      <c r="R18" s="40"/>
      <c r="S18" s="35"/>
      <c r="T18" s="35"/>
      <c r="U18" s="35"/>
      <c r="V18" s="35"/>
    </row>
    <row r="19" spans="1:22" ht="15">
      <c r="A19" s="191" t="s">
        <v>314</v>
      </c>
      <c r="B19" s="192" t="s">
        <v>306</v>
      </c>
      <c r="C19" s="206" t="s">
        <v>92</v>
      </c>
      <c r="D19" s="41">
        <f t="shared" si="6"/>
        <v>7.81</v>
      </c>
      <c r="E19" s="39">
        <v>7.81</v>
      </c>
      <c r="F19" s="39"/>
      <c r="G19" s="39"/>
      <c r="H19" s="40"/>
      <c r="I19" s="41">
        <f t="shared" si="7"/>
        <v>6.8109999999999999</v>
      </c>
      <c r="J19" s="39">
        <v>6.8109999999999999</v>
      </c>
      <c r="K19" s="39"/>
      <c r="L19" s="39"/>
      <c r="M19" s="40"/>
      <c r="N19" s="41">
        <f t="shared" si="8"/>
        <v>7.309499999999999</v>
      </c>
      <c r="O19" s="39">
        <f>(E19+J19)/2-0.001</f>
        <v>7.309499999999999</v>
      </c>
      <c r="P19" s="39"/>
      <c r="Q19" s="39"/>
      <c r="R19" s="40"/>
      <c r="S19" s="35"/>
      <c r="T19" s="35"/>
      <c r="U19" s="35"/>
      <c r="V19" s="35"/>
    </row>
    <row r="20" spans="1:22" ht="15">
      <c r="A20" s="191" t="s">
        <v>315</v>
      </c>
      <c r="B20" s="192" t="s">
        <v>287</v>
      </c>
      <c r="C20" s="206" t="s">
        <v>92</v>
      </c>
      <c r="D20" s="41">
        <f t="shared" si="6"/>
        <v>0.123</v>
      </c>
      <c r="E20" s="39"/>
      <c r="F20" s="39">
        <v>0.123</v>
      </c>
      <c r="G20" s="39"/>
      <c r="H20" s="40"/>
      <c r="I20" s="41">
        <f t="shared" si="7"/>
        <v>0.114</v>
      </c>
      <c r="J20" s="39"/>
      <c r="K20" s="39">
        <v>0.114</v>
      </c>
      <c r="L20" s="39"/>
      <c r="M20" s="40"/>
      <c r="N20" s="41">
        <f t="shared" si="8"/>
        <v>0.11849999999999999</v>
      </c>
      <c r="O20" s="39"/>
      <c r="P20" s="39">
        <f t="shared" si="10"/>
        <v>0.11849999999999999</v>
      </c>
      <c r="Q20" s="39"/>
      <c r="R20" s="40"/>
      <c r="S20" s="35"/>
      <c r="T20" s="35"/>
      <c r="U20" s="35"/>
      <c r="V20" s="35"/>
    </row>
    <row r="21" spans="1:22" ht="15">
      <c r="A21" s="191" t="s">
        <v>316</v>
      </c>
      <c r="B21" s="192" t="s">
        <v>317</v>
      </c>
      <c r="C21" s="206" t="s">
        <v>92</v>
      </c>
      <c r="D21" s="41">
        <f t="shared" si="6"/>
        <v>0.12</v>
      </c>
      <c r="E21" s="39"/>
      <c r="F21" s="39"/>
      <c r="G21" s="39">
        <v>0.12</v>
      </c>
      <c r="H21" s="40"/>
      <c r="I21" s="41">
        <f t="shared" si="7"/>
        <v>0.106</v>
      </c>
      <c r="J21" s="39"/>
      <c r="K21" s="39"/>
      <c r="L21" s="39">
        <v>0.106</v>
      </c>
      <c r="M21" s="40"/>
      <c r="N21" s="41">
        <f t="shared" si="8"/>
        <v>0.11299999999999999</v>
      </c>
      <c r="O21" s="39"/>
      <c r="P21" s="39"/>
      <c r="Q21" s="39">
        <f t="shared" ref="Q21" si="12">(G21+L21)/2</f>
        <v>0.11299999999999999</v>
      </c>
      <c r="R21" s="40"/>
      <c r="S21" s="35"/>
      <c r="T21" s="35"/>
      <c r="U21" s="35"/>
      <c r="V21" s="35"/>
    </row>
    <row r="22" spans="1:22" ht="15">
      <c r="A22" s="204" t="s">
        <v>19</v>
      </c>
      <c r="B22" s="192" t="s">
        <v>95</v>
      </c>
      <c r="C22" s="206" t="s">
        <v>92</v>
      </c>
      <c r="D22" s="41">
        <f>E22+F22+G22</f>
        <v>1.782</v>
      </c>
      <c r="E22" s="39">
        <v>1.25</v>
      </c>
      <c r="F22" s="39">
        <v>0.52800000000000002</v>
      </c>
      <c r="G22" s="39">
        <v>4.0000000000000001E-3</v>
      </c>
      <c r="H22" s="40"/>
      <c r="I22" s="41">
        <f>J22+K22+L22</f>
        <v>1.7019999999999997</v>
      </c>
      <c r="J22" s="39">
        <v>1.202</v>
      </c>
      <c r="K22" s="39">
        <v>0.497</v>
      </c>
      <c r="L22" s="39">
        <v>3.0000000000000001E-3</v>
      </c>
      <c r="M22" s="40"/>
      <c r="N22" s="41">
        <f>O22+P22+Q22</f>
        <v>1.742</v>
      </c>
      <c r="O22" s="39">
        <f t="shared" ref="O22" si="13">(E22+J22)/2</f>
        <v>1.226</v>
      </c>
      <c r="P22" s="39">
        <v>0.51200000000000001</v>
      </c>
      <c r="Q22" s="39">
        <v>4.0000000000000001E-3</v>
      </c>
      <c r="R22" s="40"/>
      <c r="S22" s="35">
        <f t="shared" si="4"/>
        <v>1.7419999999999998</v>
      </c>
      <c r="T22" s="35">
        <f t="shared" si="3"/>
        <v>1.226</v>
      </c>
      <c r="U22" s="35">
        <f t="shared" si="3"/>
        <v>0.51250000000000007</v>
      </c>
      <c r="V22" s="35">
        <f t="shared" si="3"/>
        <v>3.5000000000000001E-3</v>
      </c>
    </row>
    <row r="23" spans="1:22" ht="15">
      <c r="A23" s="204"/>
      <c r="B23" s="192" t="s">
        <v>96</v>
      </c>
      <c r="C23" s="206" t="s">
        <v>1</v>
      </c>
      <c r="D23" s="234">
        <f>D22/D16*100</f>
        <v>2.1378698082875447</v>
      </c>
      <c r="E23" s="234">
        <f>E22/E16*100</f>
        <v>1.7775628901750544</v>
      </c>
      <c r="F23" s="234">
        <f>F22/F7*100</f>
        <v>0.99679063620917496</v>
      </c>
      <c r="G23" s="234">
        <f>G22/G7*100</f>
        <v>0.13774104683195548</v>
      </c>
      <c r="H23" s="180"/>
      <c r="I23" s="234">
        <f>I22/I16*100</f>
        <v>1.9665615214854353</v>
      </c>
      <c r="J23" s="234">
        <f>J22/J16*100</f>
        <v>1.639523147011485</v>
      </c>
      <c r="K23" s="234">
        <f>K22/K7*100</f>
        <v>0.90680192672602555</v>
      </c>
      <c r="L23" s="234">
        <f>L22/L7*100</f>
        <v>6.4878892733564092E-2</v>
      </c>
      <c r="M23" s="180"/>
      <c r="N23" s="179">
        <f>N22/N16*100</f>
        <v>2.0505938717613685</v>
      </c>
      <c r="O23" s="179">
        <f>O22/O16*100</f>
        <v>1.7071166993887241</v>
      </c>
      <c r="P23" s="179">
        <f>P22/P7*100</f>
        <v>0.95010113381209549</v>
      </c>
      <c r="Q23" s="179">
        <f>Q22/Q7*100</f>
        <v>0.1062275926171827</v>
      </c>
      <c r="R23" s="180"/>
      <c r="S23" s="35">
        <f t="shared" si="4"/>
        <v>2.0522156648864898</v>
      </c>
      <c r="T23" s="35">
        <f t="shared" si="3"/>
        <v>1.7085430185932697</v>
      </c>
      <c r="U23" s="35">
        <f t="shared" si="3"/>
        <v>0.9517962814676002</v>
      </c>
      <c r="V23" s="35">
        <f t="shared" si="3"/>
        <v>0.10130996978275979</v>
      </c>
    </row>
    <row r="24" spans="1:22" s="4" customFormat="1" ht="15">
      <c r="A24" s="196" t="s">
        <v>76</v>
      </c>
      <c r="B24" s="192" t="s">
        <v>77</v>
      </c>
      <c r="C24" s="206" t="s">
        <v>92</v>
      </c>
      <c r="D24" s="41"/>
      <c r="E24" s="39"/>
      <c r="F24" s="39"/>
      <c r="G24" s="39"/>
      <c r="H24" s="40"/>
      <c r="I24" s="41"/>
      <c r="J24" s="39"/>
      <c r="K24" s="39"/>
      <c r="L24" s="39"/>
      <c r="M24" s="40"/>
      <c r="N24" s="41"/>
      <c r="O24" s="39"/>
      <c r="P24" s="39"/>
      <c r="Q24" s="39"/>
      <c r="R24" s="40"/>
      <c r="S24" s="35">
        <f t="shared" si="4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s="4" customFormat="1" ht="30">
      <c r="A25" s="196" t="s">
        <v>78</v>
      </c>
      <c r="B25" s="192" t="s">
        <v>79</v>
      </c>
      <c r="C25" s="206" t="s">
        <v>92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15">
      <c r="A26" s="196" t="s">
        <v>80</v>
      </c>
      <c r="B26" s="192" t="s">
        <v>81</v>
      </c>
      <c r="C26" s="206" t="s">
        <v>92</v>
      </c>
      <c r="D26" s="41">
        <f>E26+F26+G26</f>
        <v>1.782</v>
      </c>
      <c r="E26" s="39">
        <f>E22</f>
        <v>1.25</v>
      </c>
      <c r="F26" s="39">
        <f t="shared" ref="F26:G26" si="14">F22</f>
        <v>0.52800000000000002</v>
      </c>
      <c r="G26" s="39">
        <f t="shared" si="14"/>
        <v>4.0000000000000001E-3</v>
      </c>
      <c r="H26" s="40"/>
      <c r="I26" s="41">
        <f>J26+K26+L26</f>
        <v>1.7019999999999997</v>
      </c>
      <c r="J26" s="39">
        <f>J22</f>
        <v>1.202</v>
      </c>
      <c r="K26" s="39">
        <f t="shared" ref="K26:L26" si="15">K22</f>
        <v>0.497</v>
      </c>
      <c r="L26" s="39">
        <f t="shared" si="15"/>
        <v>3.0000000000000001E-3</v>
      </c>
      <c r="M26" s="40"/>
      <c r="N26" s="41">
        <f>N22</f>
        <v>1.742</v>
      </c>
      <c r="O26" s="39">
        <f>O22</f>
        <v>1.226</v>
      </c>
      <c r="P26" s="39">
        <f t="shared" ref="P26:Q26" si="16">P22</f>
        <v>0.51200000000000001</v>
      </c>
      <c r="Q26" s="39">
        <f t="shared" si="16"/>
        <v>4.0000000000000001E-3</v>
      </c>
      <c r="R26" s="40"/>
      <c r="S26" s="35">
        <f t="shared" si="4"/>
        <v>1.7419999999999998</v>
      </c>
      <c r="T26" s="35">
        <f t="shared" si="3"/>
        <v>1.226</v>
      </c>
      <c r="U26" s="35">
        <f t="shared" si="3"/>
        <v>0.51250000000000007</v>
      </c>
      <c r="V26" s="35">
        <f t="shared" si="3"/>
        <v>3.5000000000000001E-3</v>
      </c>
    </row>
    <row r="27" spans="1:22" s="4" customFormat="1" ht="30">
      <c r="A27" s="196" t="s">
        <v>82</v>
      </c>
      <c r="B27" s="192" t="s">
        <v>278</v>
      </c>
      <c r="C27" s="206" t="s">
        <v>92</v>
      </c>
      <c r="D27" s="41">
        <f>E27+F27+G27</f>
        <v>1.782</v>
      </c>
      <c r="E27" s="39">
        <f>E26</f>
        <v>1.25</v>
      </c>
      <c r="F27" s="39">
        <f t="shared" ref="F27:G27" si="17">F26</f>
        <v>0.52800000000000002</v>
      </c>
      <c r="G27" s="39">
        <f t="shared" si="17"/>
        <v>4.0000000000000001E-3</v>
      </c>
      <c r="H27" s="40"/>
      <c r="I27" s="41">
        <f>J27+K27+L27</f>
        <v>1.7019999999999997</v>
      </c>
      <c r="J27" s="39">
        <f>J26</f>
        <v>1.202</v>
      </c>
      <c r="K27" s="39">
        <f t="shared" ref="K27:L27" si="18">K26</f>
        <v>0.497</v>
      </c>
      <c r="L27" s="39">
        <f t="shared" si="18"/>
        <v>3.0000000000000001E-3</v>
      </c>
      <c r="M27" s="40"/>
      <c r="N27" s="41">
        <f>N22</f>
        <v>1.742</v>
      </c>
      <c r="O27" s="39">
        <f>O26</f>
        <v>1.226</v>
      </c>
      <c r="P27" s="39">
        <f t="shared" ref="P27:Q27" si="19">P26</f>
        <v>0.51200000000000001</v>
      </c>
      <c r="Q27" s="39">
        <f t="shared" si="19"/>
        <v>4.0000000000000001E-3</v>
      </c>
      <c r="R27" s="40"/>
      <c r="S27" s="35">
        <f t="shared" si="4"/>
        <v>1.7419999999999998</v>
      </c>
      <c r="T27" s="35">
        <f t="shared" si="3"/>
        <v>1.226</v>
      </c>
      <c r="U27" s="35">
        <f t="shared" si="3"/>
        <v>0.51250000000000007</v>
      </c>
      <c r="V27" s="35">
        <f t="shared" si="3"/>
        <v>3.5000000000000001E-3</v>
      </c>
    </row>
    <row r="28" spans="1:22" ht="15" customHeight="1">
      <c r="A28" s="204" t="s">
        <v>21</v>
      </c>
      <c r="B28" s="208" t="s">
        <v>97</v>
      </c>
      <c r="C28" s="206" t="s">
        <v>92</v>
      </c>
      <c r="D28" s="41">
        <f>E28+F28+G28</f>
        <v>0.129</v>
      </c>
      <c r="E28" s="39">
        <v>5.8999999999999997E-2</v>
      </c>
      <c r="F28" s="39"/>
      <c r="G28" s="39">
        <v>7.0000000000000007E-2</v>
      </c>
      <c r="H28" s="40"/>
      <c r="I28" s="41">
        <f>J28+K28+L28</f>
        <v>0.13200000000000001</v>
      </c>
      <c r="J28" s="39">
        <v>5.6000000000000001E-2</v>
      </c>
      <c r="K28" s="39"/>
      <c r="L28" s="39">
        <v>7.5999999999999998E-2</v>
      </c>
      <c r="M28" s="40"/>
      <c r="N28" s="41">
        <f>O28+P28+Q28</f>
        <v>0.13100000000000001</v>
      </c>
      <c r="O28" s="39">
        <v>5.8000000000000003E-2</v>
      </c>
      <c r="P28" s="39"/>
      <c r="Q28" s="39">
        <f t="shared" ref="Q28" si="20">(G28+L28)/2</f>
        <v>7.3000000000000009E-2</v>
      </c>
      <c r="R28" s="40"/>
      <c r="S28" s="35">
        <f t="shared" si="4"/>
        <v>0.1305</v>
      </c>
      <c r="T28" s="35">
        <f t="shared" ref="T28:T35" si="21">(E28*6+J28*6)/12</f>
        <v>5.7499999999999996E-2</v>
      </c>
      <c r="U28" s="35">
        <f t="shared" ref="U28:U35" si="22">(F28*6+K28*6)/12</f>
        <v>0</v>
      </c>
      <c r="V28" s="35">
        <f t="shared" ref="V28:V35" si="23">(G28*6+L28*6)/12</f>
        <v>7.2999999999999995E-2</v>
      </c>
    </row>
    <row r="29" spans="1:22" ht="15">
      <c r="A29" s="204" t="s">
        <v>22</v>
      </c>
      <c r="B29" s="192" t="s">
        <v>98</v>
      </c>
      <c r="C29" s="206" t="s">
        <v>92</v>
      </c>
      <c r="D29" s="41">
        <f t="shared" ref="D29:D35" si="24">E29+F29+G29</f>
        <v>81.442999999999998</v>
      </c>
      <c r="E29" s="179">
        <f>E32+E35</f>
        <v>28.724</v>
      </c>
      <c r="F29" s="179">
        <f>F32+F35</f>
        <v>49.888999999999996</v>
      </c>
      <c r="G29" s="179">
        <f t="shared" ref="G29" si="25">G32+G35</f>
        <v>2.83</v>
      </c>
      <c r="H29" s="180"/>
      <c r="I29" s="41">
        <f t="shared" ref="I29:I30" si="26">J29+K29+L29</f>
        <v>84.713000000000008</v>
      </c>
      <c r="J29" s="179">
        <f>J32+J35</f>
        <v>30.140999999999998</v>
      </c>
      <c r="K29" s="179">
        <f t="shared" ref="K29:L29" si="27">K32+K35</f>
        <v>50.027000000000001</v>
      </c>
      <c r="L29" s="179">
        <f t="shared" si="27"/>
        <v>4.5449999999999999</v>
      </c>
      <c r="M29" s="180"/>
      <c r="N29" s="41">
        <f>O29+P29+Q29+0.001</f>
        <v>83.078000000000003</v>
      </c>
      <c r="O29" s="179">
        <f>O32+O35</f>
        <v>29.4315</v>
      </c>
      <c r="P29" s="179">
        <f>P32+P35</f>
        <v>49.957999999999998</v>
      </c>
      <c r="Q29" s="179">
        <f>Q32+Q35</f>
        <v>3.6875</v>
      </c>
      <c r="R29" s="180"/>
      <c r="S29" s="35">
        <f t="shared" si="4"/>
        <v>83.078000000000003</v>
      </c>
      <c r="T29" s="35">
        <f t="shared" si="21"/>
        <v>29.432500000000001</v>
      </c>
      <c r="U29" s="35">
        <f t="shared" si="22"/>
        <v>49.957999999999998</v>
      </c>
      <c r="V29" s="35">
        <f t="shared" si="23"/>
        <v>3.6875</v>
      </c>
    </row>
    <row r="30" spans="1:22" ht="15">
      <c r="A30" s="204" t="s">
        <v>10</v>
      </c>
      <c r="B30" s="192" t="s">
        <v>85</v>
      </c>
      <c r="C30" s="206" t="s">
        <v>92</v>
      </c>
      <c r="D30" s="41">
        <f t="shared" si="24"/>
        <v>81.442999999999998</v>
      </c>
      <c r="E30" s="179">
        <f>П1.6!I44</f>
        <v>28.724</v>
      </c>
      <c r="F30" s="179">
        <f>П1.6!J44</f>
        <v>49.888999999999996</v>
      </c>
      <c r="G30" s="179">
        <f>П1.6!K44</f>
        <v>2.83</v>
      </c>
      <c r="H30" s="179"/>
      <c r="I30" s="41">
        <f t="shared" si="26"/>
        <v>84.713000000000008</v>
      </c>
      <c r="J30" s="179">
        <f>П1.6!I87</f>
        <v>30.141000000000002</v>
      </c>
      <c r="K30" s="179">
        <f>П1.6!J87</f>
        <v>50.027000000000001</v>
      </c>
      <c r="L30" s="179">
        <f>П1.6!K87</f>
        <v>4.5449999999999999</v>
      </c>
      <c r="M30" s="179"/>
      <c r="N30" s="41">
        <f>O30+P30+Q30+0.001</f>
        <v>83.077500000000001</v>
      </c>
      <c r="O30" s="179">
        <f>П1.6!I130</f>
        <v>29.431500000000003</v>
      </c>
      <c r="P30" s="179">
        <f>П1.6!J130</f>
        <v>49.957499999999996</v>
      </c>
      <c r="Q30" s="179">
        <f>П1.6!K130</f>
        <v>3.6874999999999996</v>
      </c>
      <c r="R30" s="179"/>
      <c r="S30" s="35">
        <f t="shared" si="4"/>
        <v>83.078000000000003</v>
      </c>
      <c r="T30" s="35">
        <f t="shared" si="21"/>
        <v>29.432500000000001</v>
      </c>
      <c r="U30" s="35">
        <f t="shared" si="22"/>
        <v>49.957999999999998</v>
      </c>
      <c r="V30" s="35">
        <f t="shared" si="23"/>
        <v>3.6875</v>
      </c>
    </row>
    <row r="31" spans="1:22" ht="15">
      <c r="A31" s="204"/>
      <c r="B31" s="192" t="s">
        <v>86</v>
      </c>
      <c r="C31" s="206" t="s">
        <v>92</v>
      </c>
      <c r="D31" s="36"/>
      <c r="E31" s="37"/>
      <c r="F31" s="37"/>
      <c r="G31" s="37"/>
      <c r="H31" s="38"/>
      <c r="I31" s="36"/>
      <c r="J31" s="37"/>
      <c r="K31" s="37"/>
      <c r="L31" s="37"/>
      <c r="M31" s="38"/>
      <c r="N31" s="36"/>
      <c r="O31" s="37"/>
      <c r="P31" s="37"/>
      <c r="Q31" s="37"/>
      <c r="R31" s="38"/>
      <c r="S31" s="35">
        <f t="shared" si="4"/>
        <v>0</v>
      </c>
      <c r="T31" s="35">
        <f t="shared" si="21"/>
        <v>0</v>
      </c>
      <c r="U31" s="35">
        <f t="shared" si="22"/>
        <v>0</v>
      </c>
      <c r="V31" s="35">
        <f t="shared" si="23"/>
        <v>0</v>
      </c>
    </row>
    <row r="32" spans="1:22" ht="15.75" customHeight="1">
      <c r="A32" s="204"/>
      <c r="B32" s="197" t="s">
        <v>99</v>
      </c>
      <c r="C32" s="206" t="s">
        <v>92</v>
      </c>
      <c r="D32" s="41">
        <f>E32+F32+G32</f>
        <v>69.335999999999999</v>
      </c>
      <c r="E32" s="39">
        <v>28.291</v>
      </c>
      <c r="F32" s="39">
        <v>38.235999999999997</v>
      </c>
      <c r="G32" s="39">
        <v>2.8090000000000002</v>
      </c>
      <c r="H32" s="40"/>
      <c r="I32" s="41">
        <f t="shared" ref="I32" si="28">J32+K32+L32</f>
        <v>72.166999999999987</v>
      </c>
      <c r="J32" s="39">
        <v>29.312999999999999</v>
      </c>
      <c r="K32" s="39">
        <v>38.366999999999997</v>
      </c>
      <c r="L32" s="39">
        <v>4.4870000000000001</v>
      </c>
      <c r="M32" s="40"/>
      <c r="N32" s="41">
        <f>O32+P32+Q32</f>
        <v>70.751000000000005</v>
      </c>
      <c r="O32" s="39">
        <v>28.802</v>
      </c>
      <c r="P32" s="39">
        <v>38.301000000000002</v>
      </c>
      <c r="Q32" s="39">
        <v>3.6480000000000001</v>
      </c>
      <c r="R32" s="40"/>
      <c r="S32" s="35">
        <f t="shared" si="4"/>
        <v>70.751499999999993</v>
      </c>
      <c r="T32" s="35">
        <f t="shared" si="21"/>
        <v>28.802000000000003</v>
      </c>
      <c r="U32" s="35">
        <f t="shared" si="22"/>
        <v>38.301499999999997</v>
      </c>
      <c r="V32" s="35">
        <f t="shared" si="23"/>
        <v>3.6479999999999997</v>
      </c>
    </row>
    <row r="33" spans="1:22" ht="30">
      <c r="A33" s="204"/>
      <c r="B33" s="192" t="s">
        <v>100</v>
      </c>
      <c r="C33" s="206" t="s">
        <v>92</v>
      </c>
      <c r="D33" s="41"/>
      <c r="E33" s="39"/>
      <c r="F33" s="39"/>
      <c r="G33" s="39"/>
      <c r="H33" s="40"/>
      <c r="I33" s="41"/>
      <c r="J33" s="39"/>
      <c r="K33" s="39"/>
      <c r="L33" s="39"/>
      <c r="M33" s="40"/>
      <c r="N33" s="41"/>
      <c r="O33" s="39"/>
      <c r="P33" s="39"/>
      <c r="Q33" s="39"/>
      <c r="R33" s="40"/>
      <c r="S33" s="35">
        <f t="shared" si="4"/>
        <v>0</v>
      </c>
      <c r="T33" s="35">
        <f t="shared" si="21"/>
        <v>0</v>
      </c>
      <c r="U33" s="35">
        <f t="shared" si="22"/>
        <v>0</v>
      </c>
      <c r="V33" s="35">
        <f t="shared" si="23"/>
        <v>0</v>
      </c>
    </row>
    <row r="34" spans="1:22" ht="17.25" customHeight="1">
      <c r="A34" s="204"/>
      <c r="B34" s="197" t="s">
        <v>101</v>
      </c>
      <c r="C34" s="206" t="s">
        <v>92</v>
      </c>
      <c r="D34" s="41"/>
      <c r="E34" s="39"/>
      <c r="F34" s="39"/>
      <c r="G34" s="39"/>
      <c r="H34" s="40"/>
      <c r="I34" s="41"/>
      <c r="J34" s="39"/>
      <c r="K34" s="39"/>
      <c r="L34" s="39"/>
      <c r="M34" s="40"/>
      <c r="N34" s="41"/>
      <c r="O34" s="39"/>
      <c r="P34" s="39"/>
      <c r="Q34" s="39"/>
      <c r="R34" s="40"/>
      <c r="S34" s="35">
        <f t="shared" si="4"/>
        <v>0</v>
      </c>
      <c r="T34" s="35">
        <f t="shared" si="21"/>
        <v>0</v>
      </c>
      <c r="U34" s="35">
        <f t="shared" si="22"/>
        <v>0</v>
      </c>
      <c r="V34" s="35">
        <f t="shared" si="23"/>
        <v>0</v>
      </c>
    </row>
    <row r="35" spans="1:22" ht="17.25" customHeight="1">
      <c r="A35" s="204" t="s">
        <v>11</v>
      </c>
      <c r="B35" s="192" t="s">
        <v>89</v>
      </c>
      <c r="C35" s="206" t="s">
        <v>92</v>
      </c>
      <c r="D35" s="41">
        <f t="shared" si="24"/>
        <v>12.107000000000001</v>
      </c>
      <c r="E35" s="39">
        <v>0.433</v>
      </c>
      <c r="F35" s="39">
        <v>11.653</v>
      </c>
      <c r="G35" s="39">
        <v>2.1000000000000001E-2</v>
      </c>
      <c r="H35" s="40"/>
      <c r="I35" s="41">
        <f t="shared" ref="I35" si="29">J35+K35+L35</f>
        <v>12.545999999999999</v>
      </c>
      <c r="J35" s="39">
        <v>0.82799999999999996</v>
      </c>
      <c r="K35" s="39">
        <v>11.66</v>
      </c>
      <c r="L35" s="39">
        <v>5.8000000000000003E-2</v>
      </c>
      <c r="M35" s="40"/>
      <c r="N35" s="41">
        <f>O35+P35+Q35+0.001</f>
        <v>12.327</v>
      </c>
      <c r="O35" s="39">
        <f>(E35+J35)/2-0.001</f>
        <v>0.62949999999999995</v>
      </c>
      <c r="P35" s="39">
        <v>11.657</v>
      </c>
      <c r="Q35" s="39">
        <f t="shared" ref="Q35" si="30">(G35+L35)/2</f>
        <v>3.95E-2</v>
      </c>
      <c r="R35" s="40"/>
      <c r="S35" s="35">
        <f t="shared" si="4"/>
        <v>12.326500000000001</v>
      </c>
      <c r="T35" s="35">
        <f t="shared" si="21"/>
        <v>0.63049999999999995</v>
      </c>
      <c r="U35" s="35">
        <f t="shared" si="22"/>
        <v>11.656500000000001</v>
      </c>
      <c r="V35" s="35">
        <f t="shared" si="23"/>
        <v>3.95E-2</v>
      </c>
    </row>
    <row r="36" spans="1:22" ht="15">
      <c r="A36" s="204" t="s">
        <v>61</v>
      </c>
      <c r="B36" s="192" t="s">
        <v>90</v>
      </c>
      <c r="C36" s="206" t="s">
        <v>92</v>
      </c>
      <c r="D36" s="41"/>
      <c r="E36" s="39"/>
      <c r="F36" s="39"/>
      <c r="G36" s="39"/>
      <c r="H36" s="40"/>
      <c r="I36" s="41"/>
      <c r="J36" s="39"/>
      <c r="K36" s="39"/>
      <c r="L36" s="39"/>
      <c r="M36" s="40"/>
      <c r="N36" s="41"/>
      <c r="O36" s="39"/>
      <c r="P36" s="39"/>
      <c r="Q36" s="39"/>
      <c r="R36" s="40"/>
    </row>
    <row r="37" spans="1:22" s="47" customFormat="1" ht="15">
      <c r="A37" s="311"/>
      <c r="B37" s="310"/>
      <c r="C37" s="311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</row>
    <row r="38" spans="1:22" ht="36" customHeight="1">
      <c r="A38" s="42"/>
      <c r="B38" s="42"/>
      <c r="C38" s="42"/>
      <c r="D38" s="306"/>
      <c r="G38" s="306"/>
      <c r="L38" s="306"/>
      <c r="Q38" s="306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W134"/>
  <sheetViews>
    <sheetView zoomScaleNormal="100" zoomScaleSheetLayoutView="100" workbookViewId="0">
      <selection activeCell="B27" sqref="B27"/>
    </sheetView>
  </sheetViews>
  <sheetFormatPr defaultColWidth="9.140625" defaultRowHeight="12.75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7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>
      <c r="K1" s="23"/>
      <c r="T1" s="44" t="s">
        <v>102</v>
      </c>
      <c r="W1" s="48"/>
    </row>
    <row r="3" spans="1:23" s="49" customFormat="1" ht="15.75">
      <c r="A3" s="348" t="s">
        <v>103</v>
      </c>
      <c r="B3" s="348"/>
      <c r="C3" s="348"/>
      <c r="D3" s="348"/>
      <c r="E3" s="348"/>
      <c r="F3" s="348"/>
      <c r="G3" s="348"/>
      <c r="H3" s="348"/>
      <c r="I3" s="349" t="str">
        <f>П1.5!B1</f>
        <v>ОАО "КузбассЭлектро"</v>
      </c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5" spans="1:23" s="25" customFormat="1" ht="25.5" customHeight="1">
      <c r="A5" s="341" t="s">
        <v>104</v>
      </c>
      <c r="B5" s="341" t="s">
        <v>14</v>
      </c>
      <c r="C5" s="342" t="s">
        <v>105</v>
      </c>
      <c r="D5" s="342"/>
      <c r="E5" s="342"/>
      <c r="F5" s="342"/>
      <c r="G5" s="342"/>
      <c r="H5" s="343" t="s">
        <v>106</v>
      </c>
      <c r="I5" s="343"/>
      <c r="J5" s="343"/>
      <c r="K5" s="343"/>
      <c r="L5" s="343"/>
      <c r="M5" s="344" t="s">
        <v>107</v>
      </c>
      <c r="N5" s="345" t="s">
        <v>108</v>
      </c>
      <c r="O5" s="346"/>
      <c r="P5" s="346"/>
      <c r="Q5" s="346"/>
      <c r="R5" s="347"/>
      <c r="S5" s="337" t="s">
        <v>109</v>
      </c>
      <c r="T5" s="337"/>
      <c r="U5" s="337"/>
      <c r="V5" s="337"/>
      <c r="W5" s="337"/>
    </row>
    <row r="6" spans="1:23" s="25" customFormat="1" ht="18" customHeight="1">
      <c r="A6" s="341"/>
      <c r="B6" s="341"/>
      <c r="C6" s="50" t="s">
        <v>110</v>
      </c>
      <c r="D6" s="50" t="s">
        <v>6</v>
      </c>
      <c r="E6" s="50" t="s">
        <v>7</v>
      </c>
      <c r="F6" s="50" t="s">
        <v>111</v>
      </c>
      <c r="G6" s="50" t="s">
        <v>9</v>
      </c>
      <c r="H6" s="50" t="s">
        <v>110</v>
      </c>
      <c r="I6" s="50" t="s">
        <v>6</v>
      </c>
      <c r="J6" s="50" t="s">
        <v>7</v>
      </c>
      <c r="K6" s="50" t="s">
        <v>111</v>
      </c>
      <c r="L6" s="50" t="s">
        <v>9</v>
      </c>
      <c r="M6" s="344"/>
      <c r="N6" s="27" t="s">
        <v>110</v>
      </c>
      <c r="O6" s="51" t="s">
        <v>6</v>
      </c>
      <c r="P6" s="51" t="s">
        <v>7</v>
      </c>
      <c r="Q6" s="51" t="s">
        <v>111</v>
      </c>
      <c r="R6" s="51" t="s">
        <v>9</v>
      </c>
      <c r="S6" s="52" t="s">
        <v>110</v>
      </c>
      <c r="T6" s="52" t="s">
        <v>6</v>
      </c>
      <c r="U6" s="52" t="s">
        <v>7</v>
      </c>
      <c r="V6" s="52" t="s">
        <v>111</v>
      </c>
      <c r="W6" s="52" t="s">
        <v>9</v>
      </c>
    </row>
    <row r="7" spans="1:23" s="55" customFormat="1" ht="13.5" customHeight="1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>
      <c r="A8" s="338" t="str">
        <f>П1.5!D4</f>
        <v>1 полугодие 2020г. ФАКТ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0"/>
    </row>
    <row r="9" spans="1:23" s="25" customFormat="1">
      <c r="A9" s="209">
        <v>1</v>
      </c>
      <c r="B9" s="210" t="s">
        <v>16</v>
      </c>
      <c r="C9" s="61">
        <f>D9+F9+E9</f>
        <v>820.18999999999994</v>
      </c>
      <c r="D9" s="61">
        <f>D11+D12</f>
        <v>47.328000000000003</v>
      </c>
      <c r="E9" s="61">
        <f>SUM(E11:E13)</f>
        <v>0</v>
      </c>
      <c r="F9" s="61">
        <f>F11+F12+F13+F16</f>
        <v>772.86199999999997</v>
      </c>
      <c r="G9" s="61"/>
      <c r="H9" s="61">
        <f>SUM(I9:K9)</f>
        <v>0.36299999999999999</v>
      </c>
      <c r="I9" s="61">
        <f>I11+I12</f>
        <v>5.8000000000000003E-2</v>
      </c>
      <c r="J9" s="61">
        <f>SUM(J11:J14)</f>
        <v>0</v>
      </c>
      <c r="K9" s="61">
        <f>K12+K13+K16+K11</f>
        <v>0.30499999999999999</v>
      </c>
      <c r="L9" s="61"/>
      <c r="M9" s="181">
        <f>C9/H9</f>
        <v>2259.4765840220384</v>
      </c>
      <c r="N9" s="6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211" t="s">
        <v>59</v>
      </c>
      <c r="B10" s="212" t="s">
        <v>17</v>
      </c>
      <c r="C10" s="61"/>
      <c r="D10" s="56"/>
      <c r="E10" s="56"/>
      <c r="F10" s="56"/>
      <c r="G10" s="56"/>
      <c r="H10" s="61"/>
      <c r="I10" s="56"/>
      <c r="J10" s="56"/>
      <c r="K10" s="56"/>
      <c r="L10" s="56"/>
      <c r="M10" s="181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>
      <c r="A11" s="211" t="s">
        <v>112</v>
      </c>
      <c r="B11" s="212" t="s">
        <v>113</v>
      </c>
      <c r="C11" s="61">
        <f>D11+F11</f>
        <v>0</v>
      </c>
      <c r="D11" s="56"/>
      <c r="E11" s="56"/>
      <c r="F11" s="56">
        <v>0</v>
      </c>
      <c r="G11" s="56"/>
      <c r="H11" s="61">
        <f>I11+K11</f>
        <v>0</v>
      </c>
      <c r="I11" s="56"/>
      <c r="J11" s="56"/>
      <c r="K11" s="56">
        <v>0</v>
      </c>
      <c r="L11" s="56"/>
      <c r="M11" s="181">
        <v>0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>
      <c r="A12" s="211" t="s">
        <v>114</v>
      </c>
      <c r="B12" s="212" t="s">
        <v>115</v>
      </c>
      <c r="C12" s="61">
        <f>D12+F12+E12</f>
        <v>801.46199999999999</v>
      </c>
      <c r="D12" s="56">
        <v>47.328000000000003</v>
      </c>
      <c r="E12" s="56">
        <v>0</v>
      </c>
      <c r="F12" s="56">
        <v>754.13400000000001</v>
      </c>
      <c r="G12" s="56"/>
      <c r="H12" s="61">
        <f>SUM(I12:K12)</f>
        <v>0.35699999999999998</v>
      </c>
      <c r="I12" s="56">
        <v>5.8000000000000003E-2</v>
      </c>
      <c r="J12" s="56">
        <v>0</v>
      </c>
      <c r="K12" s="56">
        <v>0.29899999999999999</v>
      </c>
      <c r="L12" s="56"/>
      <c r="M12" s="181">
        <f t="shared" ref="M12:M44" si="1">C12/H12</f>
        <v>2244.9915966386557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>
      <c r="A13" s="211" t="s">
        <v>116</v>
      </c>
      <c r="B13" s="212" t="s">
        <v>117</v>
      </c>
      <c r="C13" s="61">
        <f>SUM(D13:F13)</f>
        <v>0</v>
      </c>
      <c r="D13" s="56"/>
      <c r="E13" s="56"/>
      <c r="F13" s="56"/>
      <c r="G13" s="56"/>
      <c r="H13" s="61">
        <f>SUM(I13:K13)</f>
        <v>0</v>
      </c>
      <c r="I13" s="56"/>
      <c r="J13" s="56"/>
      <c r="K13" s="56"/>
      <c r="L13" s="56"/>
      <c r="M13" s="181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>
      <c r="A14" s="211" t="s">
        <v>60</v>
      </c>
      <c r="B14" s="212" t="s">
        <v>18</v>
      </c>
      <c r="C14" s="61"/>
      <c r="D14" s="56"/>
      <c r="E14" s="56"/>
      <c r="F14" s="56"/>
      <c r="G14" s="56"/>
      <c r="H14" s="61"/>
      <c r="I14" s="56"/>
      <c r="J14" s="56"/>
      <c r="K14" s="56"/>
      <c r="L14" s="56"/>
      <c r="M14" s="181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>
      <c r="A15" s="211" t="s">
        <v>118</v>
      </c>
      <c r="B15" s="212" t="s">
        <v>113</v>
      </c>
      <c r="C15" s="61"/>
      <c r="D15" s="56"/>
      <c r="E15" s="56"/>
      <c r="F15" s="56"/>
      <c r="G15" s="56"/>
      <c r="H15" s="61"/>
      <c r="I15" s="56"/>
      <c r="J15" s="56"/>
      <c r="K15" s="56"/>
      <c r="L15" s="56"/>
      <c r="M15" s="181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>
      <c r="A16" s="211" t="s">
        <v>119</v>
      </c>
      <c r="B16" s="212" t="s">
        <v>120</v>
      </c>
      <c r="C16" s="61">
        <f>D16+F16</f>
        <v>18.728000000000002</v>
      </c>
      <c r="D16" s="56"/>
      <c r="E16" s="56"/>
      <c r="F16" s="56">
        <v>18.728000000000002</v>
      </c>
      <c r="G16" s="56"/>
      <c r="H16" s="61">
        <f>I16+K16</f>
        <v>6.0000000000000001E-3</v>
      </c>
      <c r="I16" s="56"/>
      <c r="J16" s="56"/>
      <c r="K16" s="56">
        <v>6.0000000000000001E-3</v>
      </c>
      <c r="L16" s="56"/>
      <c r="M16" s="181">
        <f t="shared" si="1"/>
        <v>3121.3333333333335</v>
      </c>
      <c r="N16" s="6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s="25" customFormat="1">
      <c r="A17" s="209" t="s">
        <v>19</v>
      </c>
      <c r="B17" s="213" t="s">
        <v>20</v>
      </c>
      <c r="C17" s="61">
        <f>C22+C27</f>
        <v>265502.77100000001</v>
      </c>
      <c r="D17" s="61">
        <f>D22+D27</f>
        <v>103397.537</v>
      </c>
      <c r="E17" s="61">
        <f>E22+E27</f>
        <v>152039.62100000001</v>
      </c>
      <c r="F17" s="61">
        <f>F22+F27</f>
        <v>10065.613000000001</v>
      </c>
      <c r="G17" s="61"/>
      <c r="H17" s="61">
        <f t="shared" ref="H17" si="2">I17+J17+K17</f>
        <v>68.972999999999999</v>
      </c>
      <c r="I17" s="61">
        <f>I22+I27</f>
        <v>28.233000000000001</v>
      </c>
      <c r="J17" s="61">
        <f>J22+J27</f>
        <v>38.235999999999997</v>
      </c>
      <c r="K17" s="61">
        <f>K22+K27</f>
        <v>2.504</v>
      </c>
      <c r="L17" s="61"/>
      <c r="M17" s="181">
        <f t="shared" si="1"/>
        <v>3849.3725225813</v>
      </c>
      <c r="N17" s="6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 s="25" customFormat="1">
      <c r="A18" s="211" t="s">
        <v>76</v>
      </c>
      <c r="B18" s="60" t="s">
        <v>121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81"/>
      <c r="N18" s="6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214"/>
      <c r="B19" s="60" t="s">
        <v>122</v>
      </c>
      <c r="C19" s="61"/>
      <c r="D19" s="56"/>
      <c r="E19" s="56"/>
      <c r="F19" s="56"/>
      <c r="G19" s="56"/>
      <c r="H19" s="61"/>
      <c r="I19" s="56"/>
      <c r="J19" s="56"/>
      <c r="K19" s="56"/>
      <c r="L19" s="56"/>
      <c r="M19" s="181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>
      <c r="A20" s="214"/>
      <c r="B20" s="60" t="s">
        <v>123</v>
      </c>
      <c r="C20" s="61"/>
      <c r="D20" s="56"/>
      <c r="E20" s="56"/>
      <c r="F20" s="56"/>
      <c r="G20" s="56"/>
      <c r="H20" s="61"/>
      <c r="I20" s="56"/>
      <c r="J20" s="56"/>
      <c r="K20" s="56"/>
      <c r="L20" s="56"/>
      <c r="M20" s="181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>
      <c r="A21" s="211"/>
      <c r="B21" s="60" t="s">
        <v>124</v>
      </c>
      <c r="C21" s="61"/>
      <c r="D21" s="56"/>
      <c r="E21" s="56"/>
      <c r="F21" s="56"/>
      <c r="G21" s="56"/>
      <c r="H21" s="61"/>
      <c r="I21" s="56"/>
      <c r="J21" s="56"/>
      <c r="K21" s="56"/>
      <c r="L21" s="56"/>
      <c r="M21" s="181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>
      <c r="A22" s="211" t="s">
        <v>80</v>
      </c>
      <c r="B22" s="215" t="s">
        <v>125</v>
      </c>
      <c r="C22" s="61">
        <f t="shared" ref="C22:C26" si="3">D22+E22+F22</f>
        <v>17043.09</v>
      </c>
      <c r="D22" s="61">
        <f>SUM(D23:D26)</f>
        <v>10511.251</v>
      </c>
      <c r="E22" s="61">
        <f>SUM(E23:E26)</f>
        <v>3309.1510000000003</v>
      </c>
      <c r="F22" s="61">
        <f>SUM(F23:F26)</f>
        <v>3222.6880000000001</v>
      </c>
      <c r="G22" s="61"/>
      <c r="H22" s="61">
        <f t="shared" ref="H22:H43" si="4">I22+J22+K22</f>
        <v>5.0250000000000004</v>
      </c>
      <c r="I22" s="61">
        <f>SUM(I23:I26)</f>
        <v>3.2869999999999999</v>
      </c>
      <c r="J22" s="61">
        <f>SUM(J23:J26)</f>
        <v>0.96100000000000008</v>
      </c>
      <c r="K22" s="61">
        <f>SUM(K23:K26)</f>
        <v>0.77700000000000002</v>
      </c>
      <c r="L22" s="61"/>
      <c r="M22" s="181">
        <f t="shared" si="1"/>
        <v>3391.6597014925369</v>
      </c>
      <c r="N22" s="6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 s="47" customFormat="1">
      <c r="A23" s="211"/>
      <c r="B23" s="216" t="s">
        <v>339</v>
      </c>
      <c r="C23" s="61">
        <f t="shared" si="3"/>
        <v>10008.344000000001</v>
      </c>
      <c r="D23" s="64">
        <v>5641.4449999999997</v>
      </c>
      <c r="E23" s="64">
        <v>1144.211</v>
      </c>
      <c r="F23" s="64">
        <v>3222.6880000000001</v>
      </c>
      <c r="G23" s="56"/>
      <c r="H23" s="61">
        <f t="shared" si="4"/>
        <v>3.1430000000000002</v>
      </c>
      <c r="I23" s="64">
        <v>1.9850000000000001</v>
      </c>
      <c r="J23" s="64">
        <v>0.38100000000000001</v>
      </c>
      <c r="K23" s="64">
        <v>0.77700000000000002</v>
      </c>
      <c r="L23" s="56"/>
      <c r="M23" s="181">
        <f t="shared" si="1"/>
        <v>3184.3283487114222</v>
      </c>
      <c r="N23" s="62"/>
      <c r="O23" s="65"/>
      <c r="P23" s="65"/>
      <c r="Q23" s="65"/>
      <c r="R23" s="65"/>
      <c r="S23" s="63"/>
      <c r="T23" s="59"/>
      <c r="U23" s="59"/>
      <c r="V23" s="59"/>
      <c r="W23" s="59"/>
    </row>
    <row r="24" spans="1:23" s="47" customFormat="1">
      <c r="A24" s="211"/>
      <c r="B24" s="216" t="s">
        <v>282</v>
      </c>
      <c r="C24" s="61">
        <f t="shared" si="3"/>
        <v>4728.4390000000003</v>
      </c>
      <c r="D24" s="64">
        <v>4728.4390000000003</v>
      </c>
      <c r="E24" s="64"/>
      <c r="F24" s="64"/>
      <c r="G24" s="56"/>
      <c r="H24" s="61">
        <f t="shared" si="4"/>
        <v>1.252</v>
      </c>
      <c r="I24" s="64">
        <v>1.252</v>
      </c>
      <c r="J24" s="64"/>
      <c r="K24" s="64"/>
      <c r="L24" s="56"/>
      <c r="M24" s="181">
        <f t="shared" si="1"/>
        <v>3776.7084664536742</v>
      </c>
      <c r="N24" s="62"/>
      <c r="O24" s="65"/>
      <c r="P24" s="65"/>
      <c r="Q24" s="65"/>
      <c r="R24" s="65"/>
      <c r="S24" s="63"/>
      <c r="T24" s="63"/>
      <c r="U24" s="59"/>
      <c r="V24" s="59"/>
      <c r="W24" s="59"/>
    </row>
    <row r="25" spans="1:23" s="47" customFormat="1">
      <c r="A25" s="211"/>
      <c r="B25" s="216" t="s">
        <v>341</v>
      </c>
      <c r="C25" s="61">
        <f t="shared" ref="C25" si="5">D25+E25+F25</f>
        <v>2070.58</v>
      </c>
      <c r="D25" s="56"/>
      <c r="E25" s="56">
        <v>2070.58</v>
      </c>
      <c r="F25" s="64"/>
      <c r="G25" s="56"/>
      <c r="H25" s="61">
        <f t="shared" si="4"/>
        <v>0.55000000000000004</v>
      </c>
      <c r="I25" s="64"/>
      <c r="J25" s="64">
        <v>0.55000000000000004</v>
      </c>
      <c r="K25" s="64"/>
      <c r="L25" s="56"/>
      <c r="M25" s="181">
        <f t="shared" si="1"/>
        <v>3764.6909090909085</v>
      </c>
      <c r="N25" s="62"/>
      <c r="O25" s="65"/>
      <c r="P25" s="65"/>
      <c r="Q25" s="65"/>
      <c r="R25" s="65"/>
      <c r="S25" s="63"/>
      <c r="T25" s="63"/>
      <c r="U25" s="59"/>
      <c r="V25" s="59"/>
      <c r="W25" s="59"/>
    </row>
    <row r="26" spans="1:23" s="47" customFormat="1">
      <c r="A26" s="211"/>
      <c r="B26" s="60" t="s">
        <v>338</v>
      </c>
      <c r="C26" s="61">
        <f t="shared" si="3"/>
        <v>235.72699999999998</v>
      </c>
      <c r="D26" s="56">
        <v>141.36699999999999</v>
      </c>
      <c r="E26" s="56">
        <v>94.36</v>
      </c>
      <c r="F26" s="56"/>
      <c r="G26" s="56"/>
      <c r="H26" s="61">
        <f t="shared" si="4"/>
        <v>0.08</v>
      </c>
      <c r="I26" s="56">
        <v>0.05</v>
      </c>
      <c r="J26" s="56">
        <v>0.03</v>
      </c>
      <c r="K26" s="56"/>
      <c r="L26" s="56"/>
      <c r="M26" s="181">
        <f t="shared" si="1"/>
        <v>2946.5874999999996</v>
      </c>
      <c r="N26" s="62"/>
      <c r="O26" s="65"/>
      <c r="P26" s="65"/>
      <c r="Q26" s="65"/>
      <c r="R26" s="65"/>
      <c r="S26" s="63"/>
      <c r="T26" s="59"/>
      <c r="U26" s="59"/>
      <c r="V26" s="59"/>
      <c r="W26" s="59"/>
    </row>
    <row r="27" spans="1:23" s="25" customFormat="1">
      <c r="A27" s="211" t="s">
        <v>126</v>
      </c>
      <c r="B27" s="215" t="s">
        <v>127</v>
      </c>
      <c r="C27" s="61">
        <f>D27+E27+F27</f>
        <v>248459.68099999998</v>
      </c>
      <c r="D27" s="61">
        <f>SUM(D28:D36)</f>
        <v>92886.285999999993</v>
      </c>
      <c r="E27" s="61">
        <f>SUM(E28:E36)</f>
        <v>148730.47</v>
      </c>
      <c r="F27" s="61">
        <f>SUM(F28:F36)</f>
        <v>6842.9250000000002</v>
      </c>
      <c r="G27" s="61"/>
      <c r="H27" s="61">
        <f>I27+J27+K27</f>
        <v>63.948</v>
      </c>
      <c r="I27" s="61">
        <f>SUM(I28:I36)</f>
        <v>24.946000000000002</v>
      </c>
      <c r="J27" s="61">
        <f>SUM(J28:J36)</f>
        <v>37.274999999999999</v>
      </c>
      <c r="K27" s="61">
        <f>SUM(K28:K36)</f>
        <v>1.7269999999999999</v>
      </c>
      <c r="L27" s="61"/>
      <c r="M27" s="181">
        <f t="shared" si="1"/>
        <v>3885.3393538500027</v>
      </c>
      <c r="N27" s="6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 s="47" customFormat="1">
      <c r="A28" s="211"/>
      <c r="B28" s="216" t="s">
        <v>279</v>
      </c>
      <c r="C28" s="61">
        <f>D28+F28+E28</f>
        <v>24112.831999999999</v>
      </c>
      <c r="D28" s="56">
        <v>17764.258999999998</v>
      </c>
      <c r="E28" s="56"/>
      <c r="F28" s="56">
        <v>6348.5730000000003</v>
      </c>
      <c r="G28" s="56"/>
      <c r="H28" s="61">
        <f t="shared" ref="H28" si="6">I28+J28+K28</f>
        <v>6.2220000000000004</v>
      </c>
      <c r="I28" s="64">
        <v>4.6180000000000003</v>
      </c>
      <c r="J28" s="64"/>
      <c r="K28" s="64">
        <v>1.6040000000000001</v>
      </c>
      <c r="L28" s="56"/>
      <c r="M28" s="181">
        <f t="shared" si="1"/>
        <v>3875.414979106396</v>
      </c>
      <c r="N28" s="62"/>
      <c r="O28" s="65"/>
      <c r="P28" s="65"/>
      <c r="Q28" s="65"/>
      <c r="R28" s="65"/>
      <c r="S28" s="63"/>
      <c r="T28" s="59"/>
      <c r="U28" s="59"/>
      <c r="V28" s="59"/>
      <c r="W28" s="59"/>
    </row>
    <row r="29" spans="1:23" s="47" customFormat="1" ht="14.25" hidden="1" customHeight="1">
      <c r="A29" s="211"/>
      <c r="B29" s="216" t="s">
        <v>283</v>
      </c>
      <c r="C29" s="61">
        <f t="shared" ref="C29" si="7">D29+E29+F29</f>
        <v>0</v>
      </c>
      <c r="D29" s="64"/>
      <c r="E29" s="64"/>
      <c r="F29" s="64"/>
      <c r="G29" s="56"/>
      <c r="H29" s="61">
        <f>I29+J29+K29</f>
        <v>0</v>
      </c>
      <c r="I29" s="64"/>
      <c r="J29" s="64"/>
      <c r="K29" s="64"/>
      <c r="L29" s="56"/>
      <c r="M29" s="181" t="e">
        <f t="shared" ref="M29" si="8">C29/H29</f>
        <v>#DIV/0!</v>
      </c>
      <c r="N29" s="62"/>
      <c r="O29" s="65"/>
      <c r="P29" s="65"/>
      <c r="Q29" s="65"/>
      <c r="R29" s="65"/>
      <c r="S29" s="63"/>
      <c r="T29" s="63"/>
      <c r="U29" s="63"/>
      <c r="V29" s="63"/>
      <c r="W29" s="59"/>
    </row>
    <row r="30" spans="1:23" s="47" customFormat="1" ht="14.25" customHeight="1">
      <c r="A30" s="211"/>
      <c r="B30" s="216" t="s">
        <v>280</v>
      </c>
      <c r="C30" s="61">
        <f t="shared" ref="C30:C31" si="9">D30+F30+E30</f>
        <v>6791.09</v>
      </c>
      <c r="D30" s="56">
        <v>6791.09</v>
      </c>
      <c r="E30" s="56"/>
      <c r="F30" s="56"/>
      <c r="G30" s="56"/>
      <c r="H30" s="61">
        <f t="shared" si="4"/>
        <v>2.0329999999999999</v>
      </c>
      <c r="I30" s="56">
        <v>2.0329999999999999</v>
      </c>
      <c r="J30" s="56"/>
      <c r="K30" s="56"/>
      <c r="L30" s="56"/>
      <c r="M30" s="181">
        <f t="shared" si="1"/>
        <v>3340.4279390063948</v>
      </c>
      <c r="N30" s="62"/>
      <c r="O30" s="65"/>
      <c r="P30" s="65"/>
      <c r="Q30" s="65"/>
      <c r="R30" s="65"/>
      <c r="S30" s="63"/>
      <c r="T30" s="63"/>
      <c r="U30" s="63"/>
      <c r="V30" s="63"/>
      <c r="W30" s="59"/>
    </row>
    <row r="31" spans="1:23" s="47" customFormat="1" ht="14.25" customHeight="1">
      <c r="A31" s="211"/>
      <c r="B31" s="216" t="s">
        <v>281</v>
      </c>
      <c r="C31" s="61">
        <f t="shared" si="9"/>
        <v>7013.7659999999996</v>
      </c>
      <c r="D31" s="56">
        <v>7013.7659999999996</v>
      </c>
      <c r="E31" s="56"/>
      <c r="F31" s="56"/>
      <c r="G31" s="56"/>
      <c r="H31" s="61">
        <f t="shared" si="4"/>
        <v>1.718</v>
      </c>
      <c r="I31" s="56">
        <v>1.718</v>
      </c>
      <c r="J31" s="56"/>
      <c r="K31" s="56"/>
      <c r="L31" s="56"/>
      <c r="M31" s="181">
        <f t="shared" si="1"/>
        <v>4082.5180442374854</v>
      </c>
      <c r="N31" s="62"/>
      <c r="O31" s="65"/>
      <c r="P31" s="65"/>
      <c r="Q31" s="65"/>
      <c r="R31" s="65"/>
      <c r="S31" s="63"/>
      <c r="T31" s="63"/>
      <c r="U31" s="63"/>
      <c r="V31" s="63"/>
      <c r="W31" s="59"/>
    </row>
    <row r="32" spans="1:23" s="47" customFormat="1" ht="14.25" customHeight="1">
      <c r="A32" s="211"/>
      <c r="B32" s="239" t="s">
        <v>307</v>
      </c>
      <c r="C32" s="61">
        <f t="shared" ref="C32" si="10">D32+F32+E32</f>
        <v>173800.07500000001</v>
      </c>
      <c r="D32" s="56">
        <v>43935.307000000001</v>
      </c>
      <c r="E32" s="56">
        <v>129391.02099999999</v>
      </c>
      <c r="F32" s="56">
        <v>473.74700000000001</v>
      </c>
      <c r="G32" s="56"/>
      <c r="H32" s="61">
        <f t="shared" ref="H32:H33" si="11">I32+J32+K32</f>
        <v>43.458000000000006</v>
      </c>
      <c r="I32" s="56">
        <v>11.164</v>
      </c>
      <c r="J32" s="56">
        <v>32.176000000000002</v>
      </c>
      <c r="K32" s="56">
        <v>0.11799999999999999</v>
      </c>
      <c r="L32" s="56"/>
      <c r="M32" s="181">
        <f t="shared" ref="M32:M34" si="12">C32/H32</f>
        <v>3999.2653826683231</v>
      </c>
      <c r="N32" s="62"/>
      <c r="O32" s="65"/>
      <c r="P32" s="65"/>
      <c r="Q32" s="65"/>
      <c r="R32" s="65"/>
      <c r="S32" s="63"/>
      <c r="T32" s="63"/>
      <c r="U32" s="63"/>
      <c r="V32" s="63"/>
      <c r="W32" s="59"/>
    </row>
    <row r="33" spans="1:23" s="47" customFormat="1" ht="14.25" hidden="1" customHeight="1">
      <c r="A33" s="211"/>
      <c r="B33" s="239" t="s">
        <v>283</v>
      </c>
      <c r="C33" s="61">
        <f t="shared" ref="C33" si="13">D33+F33+E33</f>
        <v>0</v>
      </c>
      <c r="D33" s="56"/>
      <c r="E33" s="56"/>
      <c r="F33" s="56"/>
      <c r="G33" s="56"/>
      <c r="H33" s="61">
        <f t="shared" si="11"/>
        <v>0</v>
      </c>
      <c r="I33" s="56"/>
      <c r="J33" s="56"/>
      <c r="K33" s="56"/>
      <c r="L33" s="56"/>
      <c r="M33" s="181" t="e">
        <f t="shared" si="12"/>
        <v>#DIV/0!</v>
      </c>
      <c r="N33" s="62"/>
      <c r="O33" s="65"/>
      <c r="P33" s="65"/>
      <c r="Q33" s="65"/>
      <c r="R33" s="65"/>
      <c r="S33" s="63"/>
      <c r="T33" s="63"/>
      <c r="U33" s="63"/>
      <c r="V33" s="63"/>
      <c r="W33" s="59"/>
    </row>
    <row r="34" spans="1:23" s="47" customFormat="1" ht="14.25" customHeight="1">
      <c r="A34" s="211"/>
      <c r="B34" s="239" t="s">
        <v>340</v>
      </c>
      <c r="C34" s="61">
        <f>D34+F34+E34</f>
        <v>12031.227999999999</v>
      </c>
      <c r="D34" s="56">
        <v>12031.227999999999</v>
      </c>
      <c r="E34" s="56"/>
      <c r="F34" s="56"/>
      <c r="G34" s="56"/>
      <c r="H34" s="61">
        <f t="shared" ref="H34:H35" si="14">I34+J34+K34</f>
        <v>3.0390000000000001</v>
      </c>
      <c r="I34" s="56">
        <v>3.0390000000000001</v>
      </c>
      <c r="J34" s="56"/>
      <c r="K34" s="56"/>
      <c r="L34" s="56"/>
      <c r="M34" s="181">
        <f t="shared" si="12"/>
        <v>3958.9430733794006</v>
      </c>
      <c r="N34" s="62"/>
      <c r="O34" s="65"/>
      <c r="P34" s="65"/>
      <c r="Q34" s="65"/>
      <c r="R34" s="65"/>
      <c r="S34" s="63"/>
      <c r="T34" s="63"/>
      <c r="U34" s="63"/>
      <c r="V34" s="63"/>
      <c r="W34" s="59"/>
    </row>
    <row r="35" spans="1:23" s="47" customFormat="1" ht="14.25" customHeight="1">
      <c r="A35" s="211"/>
      <c r="B35" s="239" t="s">
        <v>283</v>
      </c>
      <c r="C35" s="61">
        <f t="shared" ref="C35" si="15">D35+E35+F35</f>
        <v>527.62300000000005</v>
      </c>
      <c r="D35" s="56"/>
      <c r="E35" s="56">
        <v>527.62300000000005</v>
      </c>
      <c r="F35" s="56"/>
      <c r="G35" s="56"/>
      <c r="H35" s="61">
        <f t="shared" si="14"/>
        <v>0.15</v>
      </c>
      <c r="I35" s="56"/>
      <c r="J35" s="56">
        <v>0.15</v>
      </c>
      <c r="K35" s="56"/>
      <c r="L35" s="56"/>
      <c r="M35" s="181">
        <f t="shared" ref="M35" si="16">C35/H35</f>
        <v>3517.4866666666671</v>
      </c>
      <c r="N35" s="62"/>
      <c r="O35" s="65"/>
      <c r="P35" s="65"/>
      <c r="Q35" s="65"/>
      <c r="R35" s="65"/>
      <c r="S35" s="63"/>
      <c r="T35" s="63"/>
      <c r="U35" s="63"/>
      <c r="V35" s="63"/>
      <c r="W35" s="59"/>
    </row>
    <row r="36" spans="1:23" s="47" customFormat="1" ht="14.25" customHeight="1">
      <c r="A36" s="211"/>
      <c r="B36" s="216" t="s">
        <v>308</v>
      </c>
      <c r="C36" s="61">
        <f>D36+F36+E36</f>
        <v>24183.067000000003</v>
      </c>
      <c r="D36" s="56">
        <v>5350.6360000000004</v>
      </c>
      <c r="E36" s="56">
        <v>18811.826000000001</v>
      </c>
      <c r="F36" s="56">
        <v>20.605</v>
      </c>
      <c r="G36" s="56"/>
      <c r="H36" s="61">
        <f t="shared" si="4"/>
        <v>7.3280000000000003</v>
      </c>
      <c r="I36" s="56">
        <v>2.3740000000000001</v>
      </c>
      <c r="J36" s="56">
        <v>4.9489999999999998</v>
      </c>
      <c r="K36" s="56">
        <v>5.0000000000000001E-3</v>
      </c>
      <c r="L36" s="56"/>
      <c r="M36" s="181">
        <f t="shared" si="1"/>
        <v>3300.0910207423585</v>
      </c>
      <c r="N36" s="62"/>
      <c r="O36" s="65"/>
      <c r="P36" s="65"/>
      <c r="Q36" s="65"/>
      <c r="R36" s="65"/>
      <c r="S36" s="63"/>
      <c r="T36" s="63"/>
      <c r="U36" s="63"/>
      <c r="V36" s="63"/>
      <c r="W36" s="59"/>
    </row>
    <row r="37" spans="1:23">
      <c r="A37" s="217" t="s">
        <v>128</v>
      </c>
      <c r="B37" s="218" t="s">
        <v>129</v>
      </c>
      <c r="C37" s="61">
        <f>D37+E37+F37</f>
        <v>33761.854999999996</v>
      </c>
      <c r="D37" s="61">
        <f>SUM(D38:D43)</f>
        <v>1364.232</v>
      </c>
      <c r="E37" s="61">
        <f>SUM(E38:E43)</f>
        <v>32324.906999999999</v>
      </c>
      <c r="F37" s="61">
        <f>SUM(F38:F43)</f>
        <v>72.715999999999994</v>
      </c>
      <c r="G37" s="61"/>
      <c r="H37" s="61">
        <f t="shared" si="4"/>
        <v>12.107000000000001</v>
      </c>
      <c r="I37" s="61">
        <f>SUM(I38:I43)</f>
        <v>0.433</v>
      </c>
      <c r="J37" s="61">
        <f>SUM(J38:J43)</f>
        <v>11.653</v>
      </c>
      <c r="K37" s="61">
        <f>SUM(K38:K43)</f>
        <v>2.1000000000000001E-2</v>
      </c>
      <c r="L37" s="61"/>
      <c r="M37" s="181">
        <f t="shared" si="1"/>
        <v>2788.6226976129506</v>
      </c>
      <c r="N37" s="6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 s="47" customFormat="1">
      <c r="A38" s="211"/>
      <c r="B38" s="216" t="s">
        <v>345</v>
      </c>
      <c r="C38" s="61">
        <f>D38+E38+F38</f>
        <v>72.715999999999994</v>
      </c>
      <c r="D38" s="56"/>
      <c r="E38" s="56"/>
      <c r="F38" s="56">
        <v>72.715999999999994</v>
      </c>
      <c r="G38" s="56"/>
      <c r="H38" s="61">
        <f t="shared" si="4"/>
        <v>2.1000000000000001E-2</v>
      </c>
      <c r="I38" s="56"/>
      <c r="J38" s="56"/>
      <c r="K38" s="56">
        <v>2.1000000000000001E-2</v>
      </c>
      <c r="L38" s="56"/>
      <c r="M38" s="181">
        <f t="shared" si="1"/>
        <v>3462.6666666666661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>
      <c r="A39" s="211"/>
      <c r="B39" s="216" t="s">
        <v>304</v>
      </c>
      <c r="C39" s="61">
        <f t="shared" ref="C39" si="17">D39+E39+F39</f>
        <v>29380.892</v>
      </c>
      <c r="D39" s="56"/>
      <c r="E39" s="56">
        <v>29380.892</v>
      </c>
      <c r="F39" s="56"/>
      <c r="G39" s="56"/>
      <c r="H39" s="61">
        <f t="shared" si="4"/>
        <v>10.592000000000001</v>
      </c>
      <c r="I39" s="56"/>
      <c r="J39" s="56">
        <v>10.592000000000001</v>
      </c>
      <c r="K39" s="56"/>
      <c r="L39" s="56"/>
      <c r="M39" s="181">
        <f t="shared" si="1"/>
        <v>2773.8757552870088</v>
      </c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>
      <c r="A40" s="211"/>
      <c r="B40" s="216" t="s">
        <v>306</v>
      </c>
      <c r="C40" s="61">
        <f t="shared" ref="C40" si="18">D40+E40+F40</f>
        <v>1364.232</v>
      </c>
      <c r="D40" s="56">
        <v>1364.232</v>
      </c>
      <c r="E40" s="56"/>
      <c r="F40" s="56"/>
      <c r="G40" s="56"/>
      <c r="H40" s="61">
        <f t="shared" ref="H40" si="19">I40+J40+K40</f>
        <v>0.433</v>
      </c>
      <c r="I40" s="56">
        <v>0.433</v>
      </c>
      <c r="J40" s="56"/>
      <c r="K40" s="56"/>
      <c r="L40" s="56"/>
      <c r="M40" s="181">
        <f t="shared" ref="M40" si="20">C40/H40</f>
        <v>3150.6512702078521</v>
      </c>
      <c r="N40" s="62"/>
      <c r="O40" s="57"/>
      <c r="P40" s="57"/>
      <c r="Q40" s="57"/>
      <c r="R40" s="57"/>
      <c r="S40" s="63"/>
      <c r="T40" s="59"/>
      <c r="U40" s="59"/>
      <c r="V40" s="59"/>
      <c r="W40" s="59"/>
    </row>
    <row r="41" spans="1:23" s="47" customFormat="1">
      <c r="A41" s="211"/>
      <c r="B41" s="216" t="s">
        <v>284</v>
      </c>
      <c r="C41" s="61">
        <f>D41+E41+F41</f>
        <v>2944.0149999999999</v>
      </c>
      <c r="D41" s="56"/>
      <c r="E41" s="56">
        <v>2944.0149999999999</v>
      </c>
      <c r="F41" s="56"/>
      <c r="G41" s="56"/>
      <c r="H41" s="61">
        <f>I41+J41+K41</f>
        <v>1.0609999999999999</v>
      </c>
      <c r="I41" s="56"/>
      <c r="J41" s="56">
        <v>1.0609999999999999</v>
      </c>
      <c r="K41" s="56"/>
      <c r="L41" s="56"/>
      <c r="M41" s="181">
        <f>C41/H41</f>
        <v>2774.7549481621113</v>
      </c>
      <c r="N41" s="62"/>
      <c r="O41" s="57"/>
      <c r="P41" s="57"/>
      <c r="Q41" s="57"/>
      <c r="R41" s="57"/>
      <c r="S41" s="63"/>
      <c r="T41" s="59"/>
      <c r="U41" s="59"/>
      <c r="V41" s="59"/>
      <c r="W41" s="59"/>
    </row>
    <row r="42" spans="1:23" s="47" customFormat="1" hidden="1">
      <c r="A42" s="211"/>
      <c r="B42" s="216"/>
      <c r="C42" s="61"/>
      <c r="D42" s="56"/>
      <c r="E42" s="56"/>
      <c r="F42" s="56"/>
      <c r="G42" s="56"/>
      <c r="H42" s="61"/>
      <c r="I42" s="56"/>
      <c r="J42" s="56"/>
      <c r="K42" s="56"/>
      <c r="L42" s="56"/>
      <c r="M42" s="181"/>
      <c r="N42" s="62"/>
      <c r="O42" s="57"/>
      <c r="P42" s="57"/>
      <c r="Q42" s="57"/>
      <c r="R42" s="57"/>
      <c r="S42" s="63"/>
      <c r="T42" s="59"/>
      <c r="U42" s="59"/>
      <c r="V42" s="59"/>
      <c r="W42" s="59"/>
    </row>
    <row r="43" spans="1:23" s="47" customFormat="1" hidden="1">
      <c r="A43" s="211"/>
      <c r="B43" s="216"/>
      <c r="C43" s="61">
        <f>D43+E43+F43</f>
        <v>0</v>
      </c>
      <c r="D43" s="56"/>
      <c r="E43" s="56"/>
      <c r="F43" s="56"/>
      <c r="G43" s="56"/>
      <c r="H43" s="61">
        <f t="shared" si="4"/>
        <v>0</v>
      </c>
      <c r="I43" s="56"/>
      <c r="J43" s="56"/>
      <c r="K43" s="56"/>
      <c r="L43" s="56"/>
      <c r="M43" s="181" t="e">
        <f t="shared" si="1"/>
        <v>#DIV/0!</v>
      </c>
      <c r="N43" s="62"/>
      <c r="O43" s="57"/>
      <c r="P43" s="57"/>
      <c r="Q43" s="57"/>
      <c r="R43" s="57"/>
      <c r="S43" s="63"/>
      <c r="T43" s="59"/>
      <c r="U43" s="63"/>
      <c r="V43" s="59"/>
      <c r="W43" s="59"/>
    </row>
    <row r="44" spans="1:23" s="25" customFormat="1">
      <c r="A44" s="217" t="s">
        <v>130</v>
      </c>
      <c r="B44" s="213" t="s">
        <v>131</v>
      </c>
      <c r="C44" s="61">
        <f>C37+C17+C9</f>
        <v>300084.81599999999</v>
      </c>
      <c r="D44" s="61">
        <f>D37+D17+D9</f>
        <v>104809.09699999999</v>
      </c>
      <c r="E44" s="61">
        <f>E37+E17+E9</f>
        <v>184364.52800000002</v>
      </c>
      <c r="F44" s="61">
        <f>F37+F17+F9</f>
        <v>10911.191000000001</v>
      </c>
      <c r="G44" s="61"/>
      <c r="H44" s="61">
        <f>H37+H17+H9</f>
        <v>81.442999999999998</v>
      </c>
      <c r="I44" s="61">
        <f>I37+I17+I9</f>
        <v>28.724</v>
      </c>
      <c r="J44" s="61">
        <f>J37+J17+J9</f>
        <v>49.888999999999996</v>
      </c>
      <c r="K44" s="61">
        <f>K37+K17+K9</f>
        <v>2.83</v>
      </c>
      <c r="L44" s="61"/>
      <c r="M44" s="181">
        <f t="shared" si="1"/>
        <v>3684.599241187088</v>
      </c>
      <c r="N44" s="62"/>
      <c r="O44" s="182"/>
      <c r="P44" s="182"/>
      <c r="Q44" s="182"/>
      <c r="R44" s="182"/>
      <c r="S44" s="182"/>
      <c r="T44" s="182"/>
      <c r="U44" s="182"/>
      <c r="V44" s="182"/>
      <c r="W44" s="182"/>
    </row>
    <row r="45" spans="1:23">
      <c r="H45" s="238"/>
      <c r="I45" s="238"/>
      <c r="J45" s="238"/>
      <c r="K45" s="238"/>
    </row>
    <row r="46" spans="1:23" hidden="1"/>
    <row r="47" spans="1:23" hidden="1"/>
    <row r="48" spans="1:23" s="25" customFormat="1" ht="25.5" hidden="1" customHeight="1">
      <c r="A48" s="341" t="s">
        <v>104</v>
      </c>
      <c r="B48" s="341" t="s">
        <v>14</v>
      </c>
      <c r="C48" s="342" t="s">
        <v>105</v>
      </c>
      <c r="D48" s="342"/>
      <c r="E48" s="342"/>
      <c r="F48" s="342"/>
      <c r="G48" s="342"/>
      <c r="H48" s="343" t="s">
        <v>106</v>
      </c>
      <c r="I48" s="343"/>
      <c r="J48" s="343"/>
      <c r="K48" s="343"/>
      <c r="L48" s="343"/>
      <c r="M48" s="344" t="s">
        <v>107</v>
      </c>
      <c r="N48" s="345" t="s">
        <v>108</v>
      </c>
      <c r="O48" s="346"/>
      <c r="P48" s="346"/>
      <c r="Q48" s="346"/>
      <c r="R48" s="347"/>
      <c r="S48" s="337" t="s">
        <v>109</v>
      </c>
      <c r="T48" s="337"/>
      <c r="U48" s="337"/>
      <c r="V48" s="337"/>
      <c r="W48" s="337"/>
    </row>
    <row r="49" spans="1:23" s="25" customFormat="1" ht="18" hidden="1" customHeight="1">
      <c r="A49" s="341"/>
      <c r="B49" s="341"/>
      <c r="C49" s="50" t="s">
        <v>110</v>
      </c>
      <c r="D49" s="50" t="s">
        <v>6</v>
      </c>
      <c r="E49" s="50" t="s">
        <v>7</v>
      </c>
      <c r="F49" s="50" t="s">
        <v>111</v>
      </c>
      <c r="G49" s="50" t="s">
        <v>9</v>
      </c>
      <c r="H49" s="50" t="s">
        <v>110</v>
      </c>
      <c r="I49" s="50" t="s">
        <v>6</v>
      </c>
      <c r="J49" s="50" t="s">
        <v>7</v>
      </c>
      <c r="K49" s="50" t="s">
        <v>111</v>
      </c>
      <c r="L49" s="50" t="s">
        <v>9</v>
      </c>
      <c r="M49" s="344"/>
      <c r="N49" s="27" t="s">
        <v>110</v>
      </c>
      <c r="O49" s="51" t="s">
        <v>6</v>
      </c>
      <c r="P49" s="51" t="s">
        <v>7</v>
      </c>
      <c r="Q49" s="51" t="s">
        <v>111</v>
      </c>
      <c r="R49" s="51" t="s">
        <v>9</v>
      </c>
      <c r="S49" s="52" t="s">
        <v>110</v>
      </c>
      <c r="T49" s="52" t="s">
        <v>6</v>
      </c>
      <c r="U49" s="52" t="s">
        <v>7</v>
      </c>
      <c r="V49" s="52" t="s">
        <v>111</v>
      </c>
      <c r="W49" s="52" t="s">
        <v>9</v>
      </c>
    </row>
    <row r="50" spans="1:23" s="55" customFormat="1" ht="13.5" hidden="1" customHeight="1">
      <c r="A50" s="53">
        <v>1</v>
      </c>
      <c r="B50" s="54">
        <f t="shared" ref="B50" si="21">+A50+1</f>
        <v>2</v>
      </c>
      <c r="C50" s="54">
        <f>+B50+1</f>
        <v>3</v>
      </c>
      <c r="D50" s="54">
        <f t="shared" ref="D50:W50" si="22">+C50+1</f>
        <v>4</v>
      </c>
      <c r="E50" s="54">
        <f t="shared" si="22"/>
        <v>5</v>
      </c>
      <c r="F50" s="54">
        <f t="shared" si="22"/>
        <v>6</v>
      </c>
      <c r="G50" s="54">
        <f t="shared" si="22"/>
        <v>7</v>
      </c>
      <c r="H50" s="54">
        <f t="shared" si="22"/>
        <v>8</v>
      </c>
      <c r="I50" s="54">
        <f t="shared" si="22"/>
        <v>9</v>
      </c>
      <c r="J50" s="54">
        <f t="shared" si="22"/>
        <v>10</v>
      </c>
      <c r="K50" s="54">
        <f t="shared" si="22"/>
        <v>11</v>
      </c>
      <c r="L50" s="54">
        <f t="shared" si="22"/>
        <v>12</v>
      </c>
      <c r="M50" s="54">
        <f t="shared" si="22"/>
        <v>13</v>
      </c>
      <c r="N50" s="54">
        <f t="shared" si="22"/>
        <v>14</v>
      </c>
      <c r="O50" s="54">
        <f t="shared" si="22"/>
        <v>15</v>
      </c>
      <c r="P50" s="54">
        <f t="shared" si="22"/>
        <v>16</v>
      </c>
      <c r="Q50" s="54">
        <f t="shared" si="22"/>
        <v>17</v>
      </c>
      <c r="R50" s="54">
        <f t="shared" si="22"/>
        <v>18</v>
      </c>
      <c r="S50" s="54">
        <f t="shared" si="22"/>
        <v>19</v>
      </c>
      <c r="T50" s="54">
        <f t="shared" si="22"/>
        <v>20</v>
      </c>
      <c r="U50" s="54">
        <f t="shared" si="22"/>
        <v>21</v>
      </c>
      <c r="V50" s="54">
        <f t="shared" si="22"/>
        <v>22</v>
      </c>
      <c r="W50" s="54">
        <f t="shared" si="22"/>
        <v>23</v>
      </c>
    </row>
    <row r="51" spans="1:23" ht="15" customHeight="1">
      <c r="A51" s="338" t="str">
        <f>П1.5!I4</f>
        <v>2 полугодие 2020г. ФАКТ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40"/>
    </row>
    <row r="52" spans="1:23" s="25" customFormat="1">
      <c r="A52" s="209">
        <v>1</v>
      </c>
      <c r="B52" s="210" t="s">
        <v>16</v>
      </c>
      <c r="C52" s="61">
        <f>SUM(D52:F52)</f>
        <v>853.0440000000001</v>
      </c>
      <c r="D52" s="61">
        <f>D54+D55</f>
        <v>33.988</v>
      </c>
      <c r="E52" s="61">
        <f>SUM(E53:E56)</f>
        <v>0</v>
      </c>
      <c r="F52" s="61">
        <f>F55+F56+F59+F54</f>
        <v>819.05600000000004</v>
      </c>
      <c r="G52" s="61"/>
      <c r="H52" s="61">
        <f>SUM(I52:K52)</f>
        <v>0.28400000000000003</v>
      </c>
      <c r="I52" s="61">
        <f>I54+I55</f>
        <v>3.3000000000000002E-2</v>
      </c>
      <c r="J52" s="61">
        <f>J54+J55</f>
        <v>0</v>
      </c>
      <c r="K52" s="61">
        <f>K55+K56+K59+K54</f>
        <v>0.251</v>
      </c>
      <c r="L52" s="61"/>
      <c r="M52" s="181">
        <f>C52/H52</f>
        <v>3003.676056338028</v>
      </c>
      <c r="N52" s="6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1:23">
      <c r="A53" s="211" t="s">
        <v>59</v>
      </c>
      <c r="B53" s="212" t="s">
        <v>17</v>
      </c>
      <c r="C53" s="61"/>
      <c r="D53" s="56"/>
      <c r="E53" s="56"/>
      <c r="F53" s="56"/>
      <c r="G53" s="56"/>
      <c r="H53" s="61"/>
      <c r="I53" s="56"/>
      <c r="J53" s="56"/>
      <c r="K53" s="56"/>
      <c r="L53" s="56"/>
      <c r="M53" s="181"/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 ht="13.5" customHeight="1">
      <c r="A54" s="211" t="s">
        <v>112</v>
      </c>
      <c r="B54" s="212" t="s">
        <v>113</v>
      </c>
      <c r="C54" s="61">
        <f>D54+F54</f>
        <v>0</v>
      </c>
      <c r="D54" s="56"/>
      <c r="E54" s="56"/>
      <c r="F54" s="56">
        <v>0</v>
      </c>
      <c r="G54" s="56"/>
      <c r="H54" s="61">
        <f>I54+K54</f>
        <v>0</v>
      </c>
      <c r="I54" s="56"/>
      <c r="J54" s="56"/>
      <c r="K54" s="56">
        <v>0</v>
      </c>
      <c r="L54" s="56"/>
      <c r="M54" s="181">
        <v>0</v>
      </c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>
      <c r="A55" s="211" t="s">
        <v>114</v>
      </c>
      <c r="B55" s="212" t="s">
        <v>115</v>
      </c>
      <c r="C55" s="61">
        <f>D55+F55+E55</f>
        <v>834.97900000000004</v>
      </c>
      <c r="D55" s="56">
        <v>33.988</v>
      </c>
      <c r="E55" s="56">
        <v>0</v>
      </c>
      <c r="F55" s="56">
        <v>800.99099999999999</v>
      </c>
      <c r="G55" s="56"/>
      <c r="H55" s="61">
        <f>SUM(I55:K55)</f>
        <v>0.27900000000000003</v>
      </c>
      <c r="I55" s="56">
        <v>3.3000000000000002E-2</v>
      </c>
      <c r="J55" s="56">
        <v>0</v>
      </c>
      <c r="K55" s="56">
        <v>0.246</v>
      </c>
      <c r="L55" s="56"/>
      <c r="M55" s="181">
        <f t="shared" ref="M55" si="23">C55/H55</f>
        <v>2992.7562724014338</v>
      </c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>
      <c r="A56" s="211" t="s">
        <v>116</v>
      </c>
      <c r="B56" s="212" t="s">
        <v>117</v>
      </c>
      <c r="C56" s="61">
        <f>SUM(D56:F56)</f>
        <v>0</v>
      </c>
      <c r="D56" s="56"/>
      <c r="E56" s="56"/>
      <c r="F56" s="56"/>
      <c r="G56" s="56"/>
      <c r="H56" s="61">
        <f>SUM(J56:K56)</f>
        <v>0</v>
      </c>
      <c r="I56" s="56"/>
      <c r="J56" s="56"/>
      <c r="K56" s="56"/>
      <c r="L56" s="56"/>
      <c r="M56" s="181"/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>
      <c r="A57" s="211" t="s">
        <v>60</v>
      </c>
      <c r="B57" s="212" t="s">
        <v>18</v>
      </c>
      <c r="C57" s="61"/>
      <c r="D57" s="56"/>
      <c r="E57" s="56"/>
      <c r="F57" s="56"/>
      <c r="G57" s="56"/>
      <c r="H57" s="61"/>
      <c r="I57" s="56"/>
      <c r="J57" s="56"/>
      <c r="K57" s="56"/>
      <c r="L57" s="56"/>
      <c r="M57" s="181"/>
      <c r="N57" s="62"/>
      <c r="O57" s="57"/>
      <c r="P57" s="57"/>
      <c r="Q57" s="57"/>
      <c r="R57" s="57"/>
      <c r="S57" s="58"/>
      <c r="T57" s="59"/>
      <c r="U57" s="59"/>
      <c r="V57" s="59"/>
      <c r="W57" s="59"/>
    </row>
    <row r="58" spans="1:23" s="25" customFormat="1">
      <c r="A58" s="211" t="s">
        <v>118</v>
      </c>
      <c r="B58" s="212" t="s">
        <v>113</v>
      </c>
      <c r="C58" s="61"/>
      <c r="D58" s="56"/>
      <c r="E58" s="56"/>
      <c r="F58" s="56"/>
      <c r="G58" s="56"/>
      <c r="H58" s="61"/>
      <c r="I58" s="56"/>
      <c r="J58" s="56"/>
      <c r="K58" s="56"/>
      <c r="L58" s="56"/>
      <c r="M58" s="181"/>
      <c r="N58" s="62"/>
      <c r="O58" s="57"/>
      <c r="P58" s="57"/>
      <c r="Q58" s="57"/>
      <c r="R58" s="57"/>
      <c r="S58" s="58"/>
      <c r="T58" s="59"/>
      <c r="U58" s="59"/>
      <c r="V58" s="59"/>
      <c r="W58" s="59"/>
    </row>
    <row r="59" spans="1:23" s="25" customFormat="1">
      <c r="A59" s="211" t="s">
        <v>119</v>
      </c>
      <c r="B59" s="212" t="s">
        <v>120</v>
      </c>
      <c r="C59" s="61">
        <f>D59+F59</f>
        <v>18.065000000000001</v>
      </c>
      <c r="D59" s="56"/>
      <c r="E59" s="56"/>
      <c r="F59" s="56">
        <v>18.065000000000001</v>
      </c>
      <c r="G59" s="56"/>
      <c r="H59" s="61">
        <f>I59+K59</f>
        <v>5.0000000000000001E-3</v>
      </c>
      <c r="I59" s="56"/>
      <c r="J59" s="56"/>
      <c r="K59" s="56">
        <v>5.0000000000000001E-3</v>
      </c>
      <c r="L59" s="56"/>
      <c r="M59" s="181">
        <f t="shared" ref="M59:M60" si="24">C59/H59</f>
        <v>3613</v>
      </c>
      <c r="N59" s="62"/>
      <c r="O59" s="182"/>
      <c r="P59" s="182"/>
      <c r="Q59" s="182"/>
      <c r="R59" s="182"/>
      <c r="S59" s="182"/>
      <c r="T59" s="182"/>
      <c r="U59" s="182"/>
      <c r="V59" s="182"/>
      <c r="W59" s="182"/>
    </row>
    <row r="60" spans="1:23" s="25" customFormat="1">
      <c r="A60" s="209" t="s">
        <v>19</v>
      </c>
      <c r="B60" s="213" t="s">
        <v>20</v>
      </c>
      <c r="C60" s="61">
        <f>C65+C70</f>
        <v>274949.49</v>
      </c>
      <c r="D60" s="61">
        <f>D65+D70</f>
        <v>101141.10799999999</v>
      </c>
      <c r="E60" s="61">
        <f>E65+E70</f>
        <v>157392.978</v>
      </c>
      <c r="F60" s="61">
        <f>F65+F70</f>
        <v>16415.403999999999</v>
      </c>
      <c r="G60" s="61"/>
      <c r="H60" s="61">
        <f t="shared" ref="H60" si="25">I60+J60+K60</f>
        <v>71.882999999999996</v>
      </c>
      <c r="I60" s="61">
        <f>I65+I70</f>
        <v>29.28</v>
      </c>
      <c r="J60" s="61">
        <f>J65+J70</f>
        <v>38.366999999999997</v>
      </c>
      <c r="K60" s="61">
        <f>K65+K70</f>
        <v>4.2359999999999998</v>
      </c>
      <c r="L60" s="61"/>
      <c r="M60" s="181">
        <f t="shared" si="24"/>
        <v>3824.9584741872209</v>
      </c>
      <c r="N60" s="62"/>
      <c r="O60" s="182"/>
      <c r="P60" s="182"/>
      <c r="Q60" s="182"/>
      <c r="R60" s="182"/>
      <c r="S60" s="182"/>
      <c r="T60" s="182"/>
      <c r="U60" s="182"/>
      <c r="V60" s="182"/>
      <c r="W60" s="182"/>
    </row>
    <row r="61" spans="1:23" s="25" customFormat="1">
      <c r="A61" s="211" t="s">
        <v>76</v>
      </c>
      <c r="B61" s="60" t="s">
        <v>121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181"/>
      <c r="N61" s="62"/>
      <c r="O61" s="182"/>
      <c r="P61" s="182"/>
      <c r="Q61" s="182"/>
      <c r="R61" s="182"/>
      <c r="S61" s="182"/>
      <c r="T61" s="182"/>
      <c r="U61" s="182"/>
      <c r="V61" s="182"/>
      <c r="W61" s="182"/>
    </row>
    <row r="62" spans="1:23">
      <c r="A62" s="214"/>
      <c r="B62" s="60" t="s">
        <v>122</v>
      </c>
      <c r="C62" s="61"/>
      <c r="D62" s="56"/>
      <c r="E62" s="56"/>
      <c r="F62" s="56"/>
      <c r="G62" s="56"/>
      <c r="H62" s="61"/>
      <c r="I62" s="56"/>
      <c r="J62" s="56"/>
      <c r="K62" s="56"/>
      <c r="L62" s="56"/>
      <c r="M62" s="181"/>
      <c r="N62" s="62"/>
      <c r="O62" s="57"/>
      <c r="P62" s="57"/>
      <c r="Q62" s="57"/>
      <c r="R62" s="57"/>
      <c r="S62" s="63"/>
      <c r="T62" s="59"/>
      <c r="U62" s="59"/>
      <c r="V62" s="59"/>
      <c r="W62" s="59"/>
    </row>
    <row r="63" spans="1:23">
      <c r="A63" s="214"/>
      <c r="B63" s="60" t="s">
        <v>123</v>
      </c>
      <c r="C63" s="61"/>
      <c r="D63" s="56"/>
      <c r="E63" s="56"/>
      <c r="F63" s="56"/>
      <c r="G63" s="56"/>
      <c r="H63" s="61"/>
      <c r="I63" s="56"/>
      <c r="J63" s="56"/>
      <c r="K63" s="56"/>
      <c r="L63" s="56"/>
      <c r="M63" s="181"/>
      <c r="N63" s="62"/>
      <c r="O63" s="57"/>
      <c r="P63" s="57"/>
      <c r="Q63" s="57"/>
      <c r="R63" s="57"/>
      <c r="S63" s="63"/>
      <c r="T63" s="59"/>
      <c r="U63" s="59"/>
      <c r="V63" s="59"/>
      <c r="W63" s="59"/>
    </row>
    <row r="64" spans="1:23" s="47" customFormat="1">
      <c r="A64" s="211"/>
      <c r="B64" s="60" t="s">
        <v>124</v>
      </c>
      <c r="C64" s="61"/>
      <c r="D64" s="56"/>
      <c r="E64" s="56"/>
      <c r="F64" s="56"/>
      <c r="G64" s="56"/>
      <c r="H64" s="61"/>
      <c r="I64" s="56"/>
      <c r="J64" s="56"/>
      <c r="K64" s="56"/>
      <c r="L64" s="56"/>
      <c r="M64" s="181"/>
      <c r="N64" s="62"/>
      <c r="O64" s="57"/>
      <c r="P64" s="57"/>
      <c r="Q64" s="57"/>
      <c r="R64" s="57"/>
      <c r="S64" s="63"/>
      <c r="T64" s="59"/>
      <c r="U64" s="59"/>
      <c r="V64" s="59"/>
      <c r="W64" s="59"/>
    </row>
    <row r="65" spans="1:23" s="25" customFormat="1">
      <c r="A65" s="211" t="s">
        <v>80</v>
      </c>
      <c r="B65" s="215" t="s">
        <v>125</v>
      </c>
      <c r="C65" s="61">
        <f t="shared" ref="C65" si="26">D65+E65+F65</f>
        <v>22488.862999999998</v>
      </c>
      <c r="D65" s="61">
        <f>SUM(D66:D69)</f>
        <v>9925.7160000000003</v>
      </c>
      <c r="E65" s="61">
        <f>SUM(E66:E69)</f>
        <v>7557.5099999999993</v>
      </c>
      <c r="F65" s="61">
        <f>SUM(F66:F69)</f>
        <v>5005.6369999999997</v>
      </c>
      <c r="G65" s="61"/>
      <c r="H65" s="61">
        <f t="shared" ref="H65" si="27">I65+J65+K65</f>
        <v>6.6449999999999996</v>
      </c>
      <c r="I65" s="61">
        <f>SUM(I66:I69)</f>
        <v>3.1890000000000001</v>
      </c>
      <c r="J65" s="61">
        <f>SUM(J66:J69)</f>
        <v>2.0019999999999998</v>
      </c>
      <c r="K65" s="61">
        <f>SUM(K66:K69)</f>
        <v>1.454</v>
      </c>
      <c r="L65" s="61"/>
      <c r="M65" s="181">
        <f t="shared" ref="M65" si="28">C65/H65</f>
        <v>3384.3285176824679</v>
      </c>
      <c r="N65" s="62"/>
      <c r="O65" s="182"/>
      <c r="P65" s="182"/>
      <c r="Q65" s="182"/>
      <c r="R65" s="182"/>
      <c r="S65" s="182"/>
      <c r="T65" s="182"/>
      <c r="U65" s="182"/>
      <c r="V65" s="182"/>
      <c r="W65" s="182"/>
    </row>
    <row r="66" spans="1:23" s="47" customFormat="1">
      <c r="A66" s="211"/>
      <c r="B66" s="216" t="s">
        <v>339</v>
      </c>
      <c r="C66" s="61">
        <f t="shared" ref="C66:C69" si="29">D66+E66+F66</f>
        <v>11534.398999999999</v>
      </c>
      <c r="D66" s="64">
        <v>5193.232</v>
      </c>
      <c r="E66" s="64">
        <v>1343.9459999999999</v>
      </c>
      <c r="F66" s="64">
        <v>4997.2209999999995</v>
      </c>
      <c r="G66" s="56"/>
      <c r="H66" s="61">
        <f t="shared" ref="H66:H69" si="30">I66+J66+K66</f>
        <v>3.665</v>
      </c>
      <c r="I66" s="64">
        <v>1.796</v>
      </c>
      <c r="J66" s="64">
        <v>0.41699999999999998</v>
      </c>
      <c r="K66" s="64">
        <v>1.452</v>
      </c>
      <c r="L66" s="56"/>
      <c r="M66" s="181">
        <f t="shared" ref="M66:M87" si="31">C66/H66</f>
        <v>3147.1757162346521</v>
      </c>
      <c r="N66" s="62"/>
      <c r="O66" s="65"/>
      <c r="P66" s="65"/>
      <c r="Q66" s="65"/>
      <c r="R66" s="65"/>
      <c r="S66" s="63"/>
      <c r="T66" s="59"/>
      <c r="U66" s="59"/>
      <c r="V66" s="59"/>
      <c r="W66" s="59"/>
    </row>
    <row r="67" spans="1:23" s="47" customFormat="1">
      <c r="A67" s="211"/>
      <c r="B67" s="216" t="s">
        <v>282</v>
      </c>
      <c r="C67" s="61">
        <f t="shared" si="29"/>
        <v>4605.2939999999999</v>
      </c>
      <c r="D67" s="64">
        <v>4605.2939999999999</v>
      </c>
      <c r="E67" s="64"/>
      <c r="F67" s="64"/>
      <c r="G67" s="56"/>
      <c r="H67" s="61">
        <f t="shared" si="30"/>
        <v>1.353</v>
      </c>
      <c r="I67" s="64">
        <v>1.353</v>
      </c>
      <c r="J67" s="64"/>
      <c r="K67" s="64"/>
      <c r="L67" s="56"/>
      <c r="M67" s="181">
        <f t="shared" si="31"/>
        <v>3403.7649667405763</v>
      </c>
      <c r="N67" s="62"/>
      <c r="O67" s="65"/>
      <c r="P67" s="65"/>
      <c r="Q67" s="65"/>
      <c r="R67" s="65"/>
      <c r="S67" s="63"/>
      <c r="T67" s="63"/>
      <c r="U67" s="59"/>
      <c r="V67" s="59"/>
      <c r="W67" s="59"/>
    </row>
    <row r="68" spans="1:23" s="47" customFormat="1">
      <c r="A68" s="211"/>
      <c r="B68" s="216" t="s">
        <v>341</v>
      </c>
      <c r="C68" s="61">
        <f t="shared" ref="C68" si="32">D68+E68+F68</f>
        <v>1477.441</v>
      </c>
      <c r="D68" s="56"/>
      <c r="E68" s="56">
        <v>1477.441</v>
      </c>
      <c r="F68" s="64"/>
      <c r="G68" s="56"/>
      <c r="H68" s="61">
        <f t="shared" si="30"/>
        <v>0.4</v>
      </c>
      <c r="I68" s="64"/>
      <c r="J68" s="64">
        <v>0.4</v>
      </c>
      <c r="K68" s="64"/>
      <c r="L68" s="56"/>
      <c r="M68" s="181">
        <f t="shared" si="31"/>
        <v>3693.6025</v>
      </c>
      <c r="N68" s="62"/>
      <c r="O68" s="65"/>
      <c r="P68" s="65"/>
      <c r="Q68" s="65"/>
      <c r="R68" s="65"/>
      <c r="S68" s="63"/>
      <c r="T68" s="63"/>
      <c r="U68" s="59"/>
      <c r="V68" s="59"/>
      <c r="W68" s="59"/>
    </row>
    <row r="69" spans="1:23" s="47" customFormat="1">
      <c r="A69" s="211"/>
      <c r="B69" s="60" t="str">
        <f>B26</f>
        <v>ЗАО "ЭПК"</v>
      </c>
      <c r="C69" s="61">
        <f t="shared" si="29"/>
        <v>4871.7289999999994</v>
      </c>
      <c r="D69" s="56">
        <v>127.19</v>
      </c>
      <c r="E69" s="56">
        <v>4736.1229999999996</v>
      </c>
      <c r="F69" s="56">
        <v>8.4160000000000004</v>
      </c>
      <c r="G69" s="56"/>
      <c r="H69" s="61">
        <f t="shared" si="30"/>
        <v>1.2270000000000001</v>
      </c>
      <c r="I69" s="56">
        <v>0.04</v>
      </c>
      <c r="J69" s="56">
        <v>1.1850000000000001</v>
      </c>
      <c r="K69" s="56">
        <v>2E-3</v>
      </c>
      <c r="L69" s="56"/>
      <c r="M69" s="181">
        <f t="shared" si="31"/>
        <v>3970.4392828035852</v>
      </c>
      <c r="N69" s="62"/>
      <c r="O69" s="65"/>
      <c r="P69" s="65"/>
      <c r="Q69" s="65"/>
      <c r="R69" s="65"/>
      <c r="S69" s="63"/>
      <c r="T69" s="59"/>
      <c r="U69" s="59"/>
      <c r="V69" s="59"/>
      <c r="W69" s="59"/>
    </row>
    <row r="70" spans="1:23" s="25" customFormat="1">
      <c r="A70" s="211" t="s">
        <v>126</v>
      </c>
      <c r="B70" s="215" t="s">
        <v>127</v>
      </c>
      <c r="C70" s="61">
        <f>D70+E70+F70</f>
        <v>252460.62699999998</v>
      </c>
      <c r="D70" s="61">
        <f>SUM(D71:D79)</f>
        <v>91215.391999999993</v>
      </c>
      <c r="E70" s="61">
        <f>SUM(E71:E79)</f>
        <v>149835.46799999999</v>
      </c>
      <c r="F70" s="61">
        <f>SUM(F71:F79)</f>
        <v>11409.767</v>
      </c>
      <c r="G70" s="61"/>
      <c r="H70" s="61">
        <f>I70+J70+K70</f>
        <v>65.238</v>
      </c>
      <c r="I70" s="61">
        <f>SUM(I71:I79)</f>
        <v>26.091000000000001</v>
      </c>
      <c r="J70" s="61">
        <f>SUM(J71:J79)</f>
        <v>36.364999999999995</v>
      </c>
      <c r="K70" s="61">
        <f>SUM(K71:K79)</f>
        <v>2.782</v>
      </c>
      <c r="L70" s="61"/>
      <c r="M70" s="181">
        <f t="shared" si="31"/>
        <v>3869.8400778687264</v>
      </c>
      <c r="N70" s="62"/>
      <c r="O70" s="182"/>
      <c r="P70" s="182"/>
      <c r="Q70" s="182"/>
      <c r="R70" s="182"/>
      <c r="S70" s="182"/>
      <c r="T70" s="182"/>
      <c r="U70" s="182"/>
      <c r="V70" s="182"/>
      <c r="W70" s="182"/>
    </row>
    <row r="71" spans="1:23" s="25" customFormat="1">
      <c r="A71" s="211"/>
      <c r="B71" s="216" t="s">
        <v>279</v>
      </c>
      <c r="C71" s="61">
        <f>D71+F71+E71</f>
        <v>22867.460999999999</v>
      </c>
      <c r="D71" s="56">
        <v>17260.912</v>
      </c>
      <c r="E71" s="56"/>
      <c r="F71" s="56">
        <v>5606.549</v>
      </c>
      <c r="G71" s="56"/>
      <c r="H71" s="61">
        <f t="shared" ref="H71:H86" si="33">I71+J71+K71</f>
        <v>6.0609999999999999</v>
      </c>
      <c r="I71" s="64">
        <v>4.6150000000000002</v>
      </c>
      <c r="J71" s="64"/>
      <c r="K71" s="64">
        <v>1.446</v>
      </c>
      <c r="L71" s="56"/>
      <c r="M71" s="181">
        <f t="shared" si="31"/>
        <v>3772.8858274212175</v>
      </c>
      <c r="N71" s="62"/>
      <c r="O71" s="182"/>
      <c r="P71" s="182"/>
      <c r="Q71" s="182"/>
      <c r="R71" s="182"/>
      <c r="S71" s="182"/>
      <c r="T71" s="182"/>
      <c r="U71" s="182"/>
      <c r="V71" s="182"/>
      <c r="W71" s="182"/>
    </row>
    <row r="72" spans="1:23" s="47" customFormat="1" ht="14.25" hidden="1" customHeight="1">
      <c r="A72" s="211"/>
      <c r="B72" s="216" t="s">
        <v>283</v>
      </c>
      <c r="C72" s="61">
        <f t="shared" ref="C72" si="34">D72+E72+F72</f>
        <v>0</v>
      </c>
      <c r="D72" s="64"/>
      <c r="E72" s="64"/>
      <c r="F72" s="64"/>
      <c r="G72" s="56"/>
      <c r="H72" s="61">
        <f>I72+J72+K72</f>
        <v>0</v>
      </c>
      <c r="I72" s="64"/>
      <c r="J72" s="64"/>
      <c r="K72" s="64"/>
      <c r="L72" s="56"/>
      <c r="M72" s="181" t="e">
        <f t="shared" si="31"/>
        <v>#DIV/0!</v>
      </c>
      <c r="N72" s="62"/>
      <c r="O72" s="65"/>
      <c r="P72" s="65"/>
      <c r="Q72" s="65"/>
      <c r="R72" s="65"/>
      <c r="S72" s="63"/>
      <c r="T72" s="63"/>
      <c r="U72" s="63"/>
      <c r="V72" s="63"/>
      <c r="W72" s="59"/>
    </row>
    <row r="73" spans="1:23" s="47" customFormat="1" ht="14.25" customHeight="1">
      <c r="A73" s="211"/>
      <c r="B73" s="216" t="s">
        <v>280</v>
      </c>
      <c r="C73" s="61">
        <f t="shared" ref="C73:C76" si="35">D73+F73+E73</f>
        <v>2258.451</v>
      </c>
      <c r="D73" s="56">
        <v>2258.451</v>
      </c>
      <c r="E73" s="56"/>
      <c r="F73" s="56"/>
      <c r="G73" s="56"/>
      <c r="H73" s="61">
        <f t="shared" ref="H73:H79" si="36">I73+J73+K73</f>
        <v>1.492</v>
      </c>
      <c r="I73" s="56">
        <v>1.492</v>
      </c>
      <c r="J73" s="56"/>
      <c r="K73" s="56"/>
      <c r="L73" s="56"/>
      <c r="M73" s="181">
        <f t="shared" si="31"/>
        <v>1513.7071045576408</v>
      </c>
      <c r="N73" s="62"/>
      <c r="O73" s="65"/>
      <c r="P73" s="65"/>
      <c r="Q73" s="65"/>
      <c r="R73" s="65"/>
      <c r="S73" s="63"/>
      <c r="T73" s="63"/>
      <c r="U73" s="63"/>
      <c r="V73" s="63"/>
      <c r="W73" s="59"/>
    </row>
    <row r="74" spans="1:23" s="47" customFormat="1" ht="14.25" customHeight="1">
      <c r="A74" s="211"/>
      <c r="B74" s="216" t="s">
        <v>281</v>
      </c>
      <c r="C74" s="61">
        <f t="shared" si="35"/>
        <v>9661.8729999999996</v>
      </c>
      <c r="D74" s="56">
        <v>9661.8729999999996</v>
      </c>
      <c r="E74" s="56"/>
      <c r="F74" s="56"/>
      <c r="G74" s="56"/>
      <c r="H74" s="61">
        <f t="shared" si="36"/>
        <v>2.516</v>
      </c>
      <c r="I74" s="56">
        <v>2.516</v>
      </c>
      <c r="J74" s="56"/>
      <c r="K74" s="56"/>
      <c r="L74" s="56"/>
      <c r="M74" s="181">
        <f t="shared" si="31"/>
        <v>3840.1720985691572</v>
      </c>
      <c r="N74" s="62"/>
      <c r="O74" s="65"/>
      <c r="P74" s="65"/>
      <c r="Q74" s="65"/>
      <c r="R74" s="65"/>
      <c r="S74" s="63"/>
      <c r="T74" s="63"/>
      <c r="U74" s="63"/>
      <c r="V74" s="63"/>
      <c r="W74" s="59"/>
    </row>
    <row r="75" spans="1:23" s="47" customFormat="1" ht="14.25" customHeight="1">
      <c r="A75" s="211"/>
      <c r="B75" s="239" t="s">
        <v>307</v>
      </c>
      <c r="C75" s="61">
        <f t="shared" si="35"/>
        <v>175597.74699999997</v>
      </c>
      <c r="D75" s="56">
        <v>40624.163999999997</v>
      </c>
      <c r="E75" s="56">
        <v>131305.04399999999</v>
      </c>
      <c r="F75" s="56">
        <v>3668.5390000000002</v>
      </c>
      <c r="G75" s="56"/>
      <c r="H75" s="61">
        <f t="shared" si="36"/>
        <v>44.013999999999996</v>
      </c>
      <c r="I75" s="56">
        <v>10.919</v>
      </c>
      <c r="J75" s="56">
        <v>32.174999999999997</v>
      </c>
      <c r="K75" s="56">
        <v>0.92</v>
      </c>
      <c r="L75" s="56"/>
      <c r="M75" s="181">
        <f t="shared" si="31"/>
        <v>3989.5884718498655</v>
      </c>
      <c r="N75" s="62"/>
      <c r="O75" s="65"/>
      <c r="P75" s="65"/>
      <c r="Q75" s="65"/>
      <c r="R75" s="65"/>
      <c r="S75" s="63"/>
      <c r="T75" s="63"/>
      <c r="U75" s="63"/>
      <c r="V75" s="63"/>
      <c r="W75" s="59"/>
    </row>
    <row r="76" spans="1:23" s="47" customFormat="1" ht="14.25" hidden="1" customHeight="1">
      <c r="A76" s="211"/>
      <c r="B76" s="239" t="s">
        <v>283</v>
      </c>
      <c r="C76" s="61">
        <f t="shared" si="35"/>
        <v>0</v>
      </c>
      <c r="D76" s="56"/>
      <c r="E76" s="56"/>
      <c r="F76" s="56"/>
      <c r="G76" s="56"/>
      <c r="H76" s="61">
        <f t="shared" si="36"/>
        <v>0</v>
      </c>
      <c r="I76" s="56"/>
      <c r="J76" s="56"/>
      <c r="K76" s="56"/>
      <c r="L76" s="56"/>
      <c r="M76" s="181" t="e">
        <f t="shared" si="31"/>
        <v>#DIV/0!</v>
      </c>
      <c r="N76" s="62"/>
      <c r="O76" s="65"/>
      <c r="P76" s="65"/>
      <c r="Q76" s="65"/>
      <c r="R76" s="65"/>
      <c r="S76" s="63"/>
      <c r="T76" s="63"/>
      <c r="U76" s="63"/>
      <c r="V76" s="63"/>
      <c r="W76" s="59"/>
    </row>
    <row r="77" spans="1:23" s="47" customFormat="1" ht="14.25" customHeight="1">
      <c r="A77" s="211"/>
      <c r="B77" s="239" t="s">
        <v>340</v>
      </c>
      <c r="C77" s="61">
        <f t="shared" ref="C77" si="37">D77+F77+E77</f>
        <v>14293.044</v>
      </c>
      <c r="D77" s="56">
        <v>14293.044</v>
      </c>
      <c r="E77" s="56"/>
      <c r="F77" s="56"/>
      <c r="G77" s="56"/>
      <c r="H77" s="61">
        <f t="shared" ref="H77:H78" si="38">I77+J77+K77</f>
        <v>3.5289999999999999</v>
      </c>
      <c r="I77" s="56">
        <v>3.5289999999999999</v>
      </c>
      <c r="J77" s="56"/>
      <c r="K77" s="56"/>
      <c r="L77" s="56"/>
      <c r="M77" s="181">
        <f t="shared" ref="M77:M78" si="39">C77/H77</f>
        <v>4050.168319637291</v>
      </c>
      <c r="N77" s="62"/>
      <c r="O77" s="65"/>
      <c r="P77" s="65"/>
      <c r="Q77" s="65"/>
      <c r="R77" s="65"/>
      <c r="S77" s="63"/>
      <c r="T77" s="63"/>
      <c r="U77" s="63"/>
      <c r="V77" s="63"/>
      <c r="W77" s="59"/>
    </row>
    <row r="78" spans="1:23" s="47" customFormat="1" ht="14.25" customHeight="1">
      <c r="A78" s="211"/>
      <c r="B78" s="239" t="s">
        <v>283</v>
      </c>
      <c r="C78" s="61">
        <f t="shared" ref="C78" si="40">D78+E78+F78</f>
        <v>123.83</v>
      </c>
      <c r="D78" s="56"/>
      <c r="E78" s="56">
        <v>123.83</v>
      </c>
      <c r="F78" s="56"/>
      <c r="G78" s="56"/>
      <c r="H78" s="61">
        <f t="shared" si="38"/>
        <v>0.04</v>
      </c>
      <c r="I78" s="56"/>
      <c r="J78" s="56">
        <v>0.04</v>
      </c>
      <c r="K78" s="56"/>
      <c r="L78" s="56"/>
      <c r="M78" s="181">
        <f t="shared" si="39"/>
        <v>3095.75</v>
      </c>
      <c r="N78" s="62"/>
      <c r="O78" s="65"/>
      <c r="P78" s="65"/>
      <c r="Q78" s="65"/>
      <c r="R78" s="65"/>
      <c r="S78" s="63"/>
      <c r="T78" s="63"/>
      <c r="U78" s="63"/>
      <c r="V78" s="63"/>
      <c r="W78" s="59"/>
    </row>
    <row r="79" spans="1:23" s="47" customFormat="1" ht="14.25" customHeight="1">
      <c r="A79" s="211"/>
      <c r="B79" s="216" t="s">
        <v>308</v>
      </c>
      <c r="C79" s="61">
        <f>D79+F79+E79</f>
        <v>27658.221000000001</v>
      </c>
      <c r="D79" s="56">
        <v>7116.9480000000003</v>
      </c>
      <c r="E79" s="56">
        <v>18406.594000000001</v>
      </c>
      <c r="F79" s="56">
        <v>2134.6790000000001</v>
      </c>
      <c r="G79" s="56"/>
      <c r="H79" s="61">
        <f t="shared" si="36"/>
        <v>7.5860000000000003</v>
      </c>
      <c r="I79" s="64">
        <v>3.02</v>
      </c>
      <c r="J79" s="64">
        <v>4.1500000000000004</v>
      </c>
      <c r="K79" s="64">
        <v>0.41599999999999998</v>
      </c>
      <c r="L79" s="56"/>
      <c r="M79" s="181">
        <f t="shared" si="31"/>
        <v>3645.9558397047194</v>
      </c>
      <c r="N79" s="62"/>
      <c r="O79" s="65"/>
      <c r="P79" s="65"/>
      <c r="Q79" s="65"/>
      <c r="R79" s="65"/>
      <c r="S79" s="63"/>
      <c r="T79" s="63"/>
      <c r="U79" s="63"/>
      <c r="V79" s="63"/>
      <c r="W79" s="59"/>
    </row>
    <row r="80" spans="1:23">
      <c r="A80" s="217" t="s">
        <v>128</v>
      </c>
      <c r="B80" s="218" t="s">
        <v>129</v>
      </c>
      <c r="C80" s="61">
        <f>D80+E80+F80</f>
        <v>35551.870999999999</v>
      </c>
      <c r="D80" s="61">
        <f>SUM(D81:D86)</f>
        <v>2641.3409999999999</v>
      </c>
      <c r="E80" s="61">
        <f>SUM(E81:E86)</f>
        <v>32705.673999999999</v>
      </c>
      <c r="F80" s="61">
        <f>SUM(F81:F86)</f>
        <v>204.85599999999999</v>
      </c>
      <c r="G80" s="61"/>
      <c r="H80" s="61">
        <f t="shared" si="33"/>
        <v>12.545999999999999</v>
      </c>
      <c r="I80" s="61">
        <f>SUM(I81:I86)</f>
        <v>0.82799999999999996</v>
      </c>
      <c r="J80" s="61">
        <f>SUM(J81:J86)</f>
        <v>11.66</v>
      </c>
      <c r="K80" s="61">
        <f>SUM(K81:K86)</f>
        <v>5.8000000000000003E-2</v>
      </c>
      <c r="L80" s="61"/>
      <c r="M80" s="181">
        <f t="shared" si="31"/>
        <v>2833.721584568787</v>
      </c>
      <c r="N80" s="6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1:23" s="47" customFormat="1">
      <c r="A81" s="211"/>
      <c r="B81" s="216" t="str">
        <f>B38</f>
        <v>ПАО "Россети Сибирь" - "Кузбассэнерго - РЭС"</v>
      </c>
      <c r="C81" s="61">
        <f>D81+E81+F81</f>
        <v>204.85599999999999</v>
      </c>
      <c r="D81" s="56"/>
      <c r="E81" s="56"/>
      <c r="F81" s="56">
        <v>204.85599999999999</v>
      </c>
      <c r="G81" s="56"/>
      <c r="H81" s="61">
        <f t="shared" si="33"/>
        <v>5.8000000000000003E-2</v>
      </c>
      <c r="I81" s="56"/>
      <c r="J81" s="56"/>
      <c r="K81" s="56">
        <v>5.8000000000000003E-2</v>
      </c>
      <c r="L81" s="56"/>
      <c r="M81" s="181">
        <f t="shared" si="31"/>
        <v>3531.9999999999995</v>
      </c>
      <c r="N81" s="62"/>
      <c r="O81" s="57"/>
      <c r="P81" s="57"/>
      <c r="Q81" s="57"/>
      <c r="R81" s="57"/>
      <c r="S81" s="63"/>
      <c r="T81" s="59"/>
      <c r="U81" s="59"/>
      <c r="V81" s="59"/>
      <c r="W81" s="59"/>
    </row>
    <row r="82" spans="1:23" s="47" customFormat="1">
      <c r="A82" s="211"/>
      <c r="B82" s="216" t="s">
        <v>304</v>
      </c>
      <c r="C82" s="61">
        <f t="shared" ref="C82:C84" si="41">D82+E82+F82</f>
        <v>29680.924999999999</v>
      </c>
      <c r="D82" s="56"/>
      <c r="E82" s="56">
        <v>29680.924999999999</v>
      </c>
      <c r="F82" s="56"/>
      <c r="G82" s="56"/>
      <c r="H82" s="61">
        <f t="shared" si="33"/>
        <v>10.582000000000001</v>
      </c>
      <c r="I82" s="56"/>
      <c r="J82" s="56">
        <v>10.582000000000001</v>
      </c>
      <c r="K82" s="56"/>
      <c r="L82" s="56"/>
      <c r="M82" s="181">
        <f t="shared" si="31"/>
        <v>2804.850217350217</v>
      </c>
      <c r="N82" s="62"/>
      <c r="O82" s="57"/>
      <c r="P82" s="57"/>
      <c r="Q82" s="57"/>
      <c r="R82" s="57"/>
      <c r="S82" s="63"/>
      <c r="T82" s="59"/>
      <c r="U82" s="59"/>
      <c r="V82" s="59"/>
      <c r="W82" s="59"/>
    </row>
    <row r="83" spans="1:23" s="47" customFormat="1">
      <c r="A83" s="211"/>
      <c r="B83" s="216" t="s">
        <v>306</v>
      </c>
      <c r="C83" s="61">
        <f t="shared" ref="C83" si="42">D83+E83+F83</f>
        <v>2641.3409999999999</v>
      </c>
      <c r="D83" s="56">
        <v>2641.3409999999999</v>
      </c>
      <c r="E83" s="56"/>
      <c r="F83" s="56"/>
      <c r="G83" s="56"/>
      <c r="H83" s="61">
        <f t="shared" ref="H83" si="43">I83+J83+K83</f>
        <v>0.82799999999999996</v>
      </c>
      <c r="I83" s="56">
        <v>0.82799999999999996</v>
      </c>
      <c r="J83" s="56"/>
      <c r="K83" s="56"/>
      <c r="L83" s="56"/>
      <c r="M83" s="181">
        <f t="shared" ref="M83" si="44">C83/H83</f>
        <v>3190.0253623188405</v>
      </c>
      <c r="N83" s="62"/>
      <c r="O83" s="57"/>
      <c r="P83" s="57"/>
      <c r="Q83" s="57"/>
      <c r="R83" s="57"/>
      <c r="S83" s="63"/>
      <c r="T83" s="59"/>
      <c r="U83" s="59"/>
      <c r="V83" s="59"/>
      <c r="W83" s="59"/>
    </row>
    <row r="84" spans="1:23" s="47" customFormat="1">
      <c r="A84" s="211"/>
      <c r="B84" s="216" t="s">
        <v>284</v>
      </c>
      <c r="C84" s="61">
        <f t="shared" si="41"/>
        <v>3024.7489999999998</v>
      </c>
      <c r="D84" s="56"/>
      <c r="E84" s="56">
        <v>3024.7489999999998</v>
      </c>
      <c r="F84" s="56"/>
      <c r="G84" s="56"/>
      <c r="H84" s="61">
        <f t="shared" si="33"/>
        <v>1.0780000000000001</v>
      </c>
      <c r="I84" s="56"/>
      <c r="J84" s="56">
        <v>1.0780000000000001</v>
      </c>
      <c r="K84" s="56"/>
      <c r="L84" s="56"/>
      <c r="M84" s="181">
        <f t="shared" si="31"/>
        <v>2805.88961038961</v>
      </c>
      <c r="N84" s="62"/>
      <c r="O84" s="57"/>
      <c r="P84" s="57"/>
      <c r="Q84" s="57"/>
      <c r="R84" s="57"/>
      <c r="S84" s="63"/>
      <c r="T84" s="59"/>
      <c r="U84" s="59"/>
      <c r="V84" s="59"/>
      <c r="W84" s="59"/>
    </row>
    <row r="85" spans="1:23" s="47" customFormat="1" hidden="1">
      <c r="A85" s="211"/>
      <c r="B85" s="216"/>
      <c r="C85" s="61"/>
      <c r="D85" s="56"/>
      <c r="E85" s="56"/>
      <c r="F85" s="56"/>
      <c r="G85" s="56"/>
      <c r="H85" s="61"/>
      <c r="I85" s="56"/>
      <c r="J85" s="56"/>
      <c r="K85" s="56"/>
      <c r="L85" s="56"/>
      <c r="M85" s="181"/>
      <c r="N85" s="62"/>
      <c r="O85" s="57"/>
      <c r="P85" s="57"/>
      <c r="Q85" s="57"/>
      <c r="R85" s="57"/>
      <c r="S85" s="63"/>
      <c r="T85" s="59"/>
      <c r="U85" s="63"/>
      <c r="V85" s="59"/>
      <c r="W85" s="59"/>
    </row>
    <row r="86" spans="1:23" s="47" customFormat="1" hidden="1">
      <c r="A86" s="211"/>
      <c r="B86" s="216"/>
      <c r="C86" s="61">
        <f>D86+E86+F86</f>
        <v>0</v>
      </c>
      <c r="D86" s="56"/>
      <c r="E86" s="56"/>
      <c r="F86" s="56"/>
      <c r="G86" s="56"/>
      <c r="H86" s="61">
        <f t="shared" si="33"/>
        <v>0</v>
      </c>
      <c r="I86" s="56"/>
      <c r="J86" s="56"/>
      <c r="K86" s="56"/>
      <c r="L86" s="56"/>
      <c r="M86" s="181">
        <v>0</v>
      </c>
      <c r="N86" s="62"/>
      <c r="O86" s="57"/>
      <c r="P86" s="57"/>
      <c r="Q86" s="57"/>
      <c r="R86" s="57"/>
      <c r="S86" s="63"/>
      <c r="T86" s="59"/>
      <c r="U86" s="63"/>
      <c r="V86" s="59"/>
      <c r="W86" s="59"/>
    </row>
    <row r="87" spans="1:23" s="25" customFormat="1">
      <c r="A87" s="217" t="s">
        <v>130</v>
      </c>
      <c r="B87" s="213" t="s">
        <v>131</v>
      </c>
      <c r="C87" s="61">
        <f t="shared" ref="C87:K87" si="45">C80+C60+C52</f>
        <v>311354.40499999997</v>
      </c>
      <c r="D87" s="61">
        <f t="shared" si="45"/>
        <v>103816.43699999999</v>
      </c>
      <c r="E87" s="61">
        <f t="shared" si="45"/>
        <v>190098.652</v>
      </c>
      <c r="F87" s="61">
        <f t="shared" si="45"/>
        <v>17439.315999999999</v>
      </c>
      <c r="G87" s="61">
        <f t="shared" si="45"/>
        <v>0</v>
      </c>
      <c r="H87" s="61">
        <f t="shared" si="45"/>
        <v>84.713000000000008</v>
      </c>
      <c r="I87" s="61">
        <f t="shared" si="45"/>
        <v>30.141000000000002</v>
      </c>
      <c r="J87" s="61">
        <f t="shared" si="45"/>
        <v>50.027000000000001</v>
      </c>
      <c r="K87" s="61">
        <f t="shared" si="45"/>
        <v>4.5449999999999999</v>
      </c>
      <c r="L87" s="61"/>
      <c r="M87" s="181">
        <f t="shared" si="31"/>
        <v>3675.4028897571793</v>
      </c>
      <c r="N87" s="62"/>
      <c r="O87" s="182"/>
      <c r="P87" s="182"/>
      <c r="Q87" s="182"/>
      <c r="R87" s="182"/>
      <c r="S87" s="182"/>
      <c r="T87" s="182"/>
      <c r="U87" s="182"/>
      <c r="V87" s="182"/>
      <c r="W87" s="182"/>
    </row>
    <row r="88" spans="1:23">
      <c r="H88" s="308"/>
      <c r="I88" s="308"/>
      <c r="J88" s="308"/>
      <c r="K88" s="308"/>
    </row>
    <row r="89" spans="1:23" hidden="1"/>
    <row r="90" spans="1:23" hidden="1"/>
    <row r="91" spans="1:23" s="25" customFormat="1" ht="25.5" hidden="1" customHeight="1">
      <c r="A91" s="341" t="s">
        <v>104</v>
      </c>
      <c r="B91" s="341" t="s">
        <v>14</v>
      </c>
      <c r="C91" s="342" t="s">
        <v>105</v>
      </c>
      <c r="D91" s="342"/>
      <c r="E91" s="342"/>
      <c r="F91" s="342"/>
      <c r="G91" s="342"/>
      <c r="H91" s="343" t="s">
        <v>106</v>
      </c>
      <c r="I91" s="343"/>
      <c r="J91" s="343"/>
      <c r="K91" s="343"/>
      <c r="L91" s="343"/>
      <c r="M91" s="344" t="s">
        <v>107</v>
      </c>
      <c r="N91" s="345" t="s">
        <v>108</v>
      </c>
      <c r="O91" s="346"/>
      <c r="P91" s="346"/>
      <c r="Q91" s="346"/>
      <c r="R91" s="347"/>
      <c r="S91" s="337" t="s">
        <v>109</v>
      </c>
      <c r="T91" s="337"/>
      <c r="U91" s="337"/>
      <c r="V91" s="337"/>
      <c r="W91" s="337"/>
    </row>
    <row r="92" spans="1:23" s="25" customFormat="1" ht="18" hidden="1" customHeight="1">
      <c r="A92" s="341"/>
      <c r="B92" s="341"/>
      <c r="C92" s="50" t="s">
        <v>110</v>
      </c>
      <c r="D92" s="50" t="s">
        <v>6</v>
      </c>
      <c r="E92" s="50" t="s">
        <v>7</v>
      </c>
      <c r="F92" s="50" t="s">
        <v>111</v>
      </c>
      <c r="G92" s="50" t="s">
        <v>9</v>
      </c>
      <c r="H92" s="50" t="s">
        <v>110</v>
      </c>
      <c r="I92" s="50" t="s">
        <v>6</v>
      </c>
      <c r="J92" s="50" t="s">
        <v>7</v>
      </c>
      <c r="K92" s="50" t="s">
        <v>111</v>
      </c>
      <c r="L92" s="50" t="s">
        <v>9</v>
      </c>
      <c r="M92" s="344"/>
      <c r="N92" s="27" t="s">
        <v>110</v>
      </c>
      <c r="O92" s="51" t="s">
        <v>6</v>
      </c>
      <c r="P92" s="51" t="s">
        <v>7</v>
      </c>
      <c r="Q92" s="51" t="s">
        <v>111</v>
      </c>
      <c r="R92" s="51" t="s">
        <v>9</v>
      </c>
      <c r="S92" s="52" t="s">
        <v>110</v>
      </c>
      <c r="T92" s="52" t="s">
        <v>6</v>
      </c>
      <c r="U92" s="52" t="s">
        <v>7</v>
      </c>
      <c r="V92" s="52" t="s">
        <v>111</v>
      </c>
      <c r="W92" s="52" t="s">
        <v>9</v>
      </c>
    </row>
    <row r="93" spans="1:23" s="55" customFormat="1" ht="13.5" hidden="1" customHeight="1">
      <c r="A93" s="53">
        <v>1</v>
      </c>
      <c r="B93" s="54">
        <f t="shared" ref="B93" si="46">+A93+1</f>
        <v>2</v>
      </c>
      <c r="C93" s="54">
        <f>+B93+1</f>
        <v>3</v>
      </c>
      <c r="D93" s="54">
        <f t="shared" ref="D93:W93" si="47">+C93+1</f>
        <v>4</v>
      </c>
      <c r="E93" s="54">
        <f t="shared" si="47"/>
        <v>5</v>
      </c>
      <c r="F93" s="54">
        <f t="shared" si="47"/>
        <v>6</v>
      </c>
      <c r="G93" s="54">
        <f t="shared" si="47"/>
        <v>7</v>
      </c>
      <c r="H93" s="54">
        <f t="shared" si="47"/>
        <v>8</v>
      </c>
      <c r="I93" s="54">
        <f t="shared" si="47"/>
        <v>9</v>
      </c>
      <c r="J93" s="54">
        <f t="shared" si="47"/>
        <v>10</v>
      </c>
      <c r="K93" s="54">
        <f t="shared" si="47"/>
        <v>11</v>
      </c>
      <c r="L93" s="54">
        <f t="shared" si="47"/>
        <v>12</v>
      </c>
      <c r="M93" s="54">
        <f t="shared" si="47"/>
        <v>13</v>
      </c>
      <c r="N93" s="54">
        <f t="shared" si="47"/>
        <v>14</v>
      </c>
      <c r="O93" s="54">
        <f t="shared" si="47"/>
        <v>15</v>
      </c>
      <c r="P93" s="54">
        <f t="shared" si="47"/>
        <v>16</v>
      </c>
      <c r="Q93" s="54">
        <f t="shared" si="47"/>
        <v>17</v>
      </c>
      <c r="R93" s="54">
        <f t="shared" si="47"/>
        <v>18</v>
      </c>
      <c r="S93" s="54">
        <f t="shared" si="47"/>
        <v>19</v>
      </c>
      <c r="T93" s="54">
        <f t="shared" si="47"/>
        <v>20</v>
      </c>
      <c r="U93" s="54">
        <f t="shared" si="47"/>
        <v>21</v>
      </c>
      <c r="V93" s="54">
        <f t="shared" si="47"/>
        <v>22</v>
      </c>
      <c r="W93" s="54">
        <f t="shared" si="47"/>
        <v>23</v>
      </c>
    </row>
    <row r="94" spans="1:23" ht="15" customHeight="1">
      <c r="A94" s="338" t="str">
        <f>П1.5!N4</f>
        <v>2020 год ФАКТ</v>
      </c>
      <c r="B94" s="339"/>
      <c r="C94" s="339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40"/>
    </row>
    <row r="95" spans="1:23" s="25" customFormat="1">
      <c r="A95" s="209">
        <v>1</v>
      </c>
      <c r="B95" s="210" t="s">
        <v>16</v>
      </c>
      <c r="C95" s="61">
        <f>SUM(D95:F95)</f>
        <v>1673.2340000000002</v>
      </c>
      <c r="D95" s="61">
        <f>D97+D98</f>
        <v>81.316000000000003</v>
      </c>
      <c r="E95" s="61">
        <f>SUM(E97:E101)</f>
        <v>0</v>
      </c>
      <c r="F95" s="61">
        <f>F98+F99+F102+F97</f>
        <v>1591.9180000000001</v>
      </c>
      <c r="G95" s="61"/>
      <c r="H95" s="61">
        <f>SUM(I95:K95)</f>
        <v>0.32350000000000001</v>
      </c>
      <c r="I95" s="61">
        <f>I97+I98</f>
        <v>4.5500000000000006E-2</v>
      </c>
      <c r="J95" s="61">
        <f>SUM(J96:J100)</f>
        <v>0</v>
      </c>
      <c r="K95" s="61">
        <f>K98+K99+K102+K97+0.001</f>
        <v>0.27800000000000002</v>
      </c>
      <c r="L95" s="61"/>
      <c r="M95" s="181">
        <f>C95/H95</f>
        <v>5172.2843894899543</v>
      </c>
      <c r="N95" s="62"/>
      <c r="O95" s="182"/>
      <c r="P95" s="182"/>
      <c r="Q95" s="182"/>
      <c r="R95" s="182"/>
      <c r="S95" s="182"/>
      <c r="T95" s="182"/>
      <c r="U95" s="182"/>
      <c r="V95" s="182"/>
      <c r="W95" s="182"/>
    </row>
    <row r="96" spans="1:23">
      <c r="A96" s="211" t="s">
        <v>59</v>
      </c>
      <c r="B96" s="212" t="s">
        <v>17</v>
      </c>
      <c r="C96" s="61"/>
      <c r="D96" s="56"/>
      <c r="E96" s="56"/>
      <c r="F96" s="56"/>
      <c r="G96" s="56"/>
      <c r="H96" s="61"/>
      <c r="I96" s="56"/>
      <c r="J96" s="56"/>
      <c r="K96" s="56"/>
      <c r="L96" s="56"/>
      <c r="M96" s="181"/>
      <c r="N96" s="62"/>
      <c r="O96" s="57"/>
      <c r="P96" s="57"/>
      <c r="Q96" s="57"/>
      <c r="R96" s="57"/>
      <c r="S96" s="58"/>
      <c r="T96" s="59"/>
      <c r="U96" s="59"/>
      <c r="V96" s="59"/>
      <c r="W96" s="59"/>
    </row>
    <row r="97" spans="1:23" s="25" customFormat="1" ht="13.5" customHeight="1">
      <c r="A97" s="211" t="s">
        <v>112</v>
      </c>
      <c r="B97" s="212" t="s">
        <v>113</v>
      </c>
      <c r="C97" s="61">
        <f>D97+F97</f>
        <v>0</v>
      </c>
      <c r="D97" s="56"/>
      <c r="E97" s="56"/>
      <c r="F97" s="56">
        <f>F54+F11</f>
        <v>0</v>
      </c>
      <c r="G97" s="56"/>
      <c r="H97" s="61">
        <f>I97+K97</f>
        <v>0</v>
      </c>
      <c r="I97" s="56"/>
      <c r="J97" s="56"/>
      <c r="K97" s="56"/>
      <c r="L97" s="56"/>
      <c r="M97" s="181">
        <v>0</v>
      </c>
      <c r="N97" s="62"/>
      <c r="O97" s="57"/>
      <c r="P97" s="57"/>
      <c r="Q97" s="57"/>
      <c r="R97" s="57"/>
      <c r="S97" s="58"/>
      <c r="T97" s="59"/>
      <c r="U97" s="59"/>
      <c r="V97" s="59"/>
      <c r="W97" s="59"/>
    </row>
    <row r="98" spans="1:23" s="25" customFormat="1">
      <c r="A98" s="211" t="s">
        <v>114</v>
      </c>
      <c r="B98" s="212" t="s">
        <v>115</v>
      </c>
      <c r="C98" s="61">
        <f>D98+F98+E98</f>
        <v>1636.441</v>
      </c>
      <c r="D98" s="56">
        <f>D55+D12</f>
        <v>81.316000000000003</v>
      </c>
      <c r="E98" s="56">
        <f>E55+E12</f>
        <v>0</v>
      </c>
      <c r="F98" s="56">
        <f>F55+F12</f>
        <v>1555.125</v>
      </c>
      <c r="G98" s="56"/>
      <c r="H98" s="61">
        <f>SUM(I98:K98)+0.001</f>
        <v>0.31900000000000001</v>
      </c>
      <c r="I98" s="64">
        <f>(I12*6+I55*6)/12</f>
        <v>4.5500000000000006E-2</v>
      </c>
      <c r="J98" s="64">
        <f>(J12*6+J55*6)/12</f>
        <v>0</v>
      </c>
      <c r="K98" s="64">
        <f>(K12*6+K55*6)/12</f>
        <v>0.27250000000000002</v>
      </c>
      <c r="L98" s="56"/>
      <c r="M98" s="181">
        <f t="shared" ref="M98" si="48">C98/H98</f>
        <v>5129.909090909091</v>
      </c>
      <c r="N98" s="62"/>
      <c r="O98" s="57"/>
      <c r="P98" s="57"/>
      <c r="Q98" s="57"/>
      <c r="R98" s="57"/>
      <c r="S98" s="58"/>
      <c r="T98" s="59"/>
      <c r="U98" s="59"/>
      <c r="V98" s="59"/>
      <c r="W98" s="59"/>
    </row>
    <row r="99" spans="1:23" s="25" customFormat="1">
      <c r="A99" s="211" t="s">
        <v>116</v>
      </c>
      <c r="B99" s="212" t="s">
        <v>117</v>
      </c>
      <c r="C99" s="61">
        <f>SUM(D99:F99)</f>
        <v>0</v>
      </c>
      <c r="D99" s="56"/>
      <c r="E99" s="56"/>
      <c r="F99" s="56"/>
      <c r="G99" s="56"/>
      <c r="H99" s="61">
        <f>I99+K99</f>
        <v>0</v>
      </c>
      <c r="I99" s="56"/>
      <c r="J99" s="56"/>
      <c r="K99" s="56"/>
      <c r="L99" s="56"/>
      <c r="M99" s="181"/>
      <c r="N99" s="62"/>
      <c r="O99" s="57"/>
      <c r="P99" s="57"/>
      <c r="Q99" s="57"/>
      <c r="R99" s="57"/>
      <c r="S99" s="58"/>
      <c r="T99" s="59"/>
      <c r="U99" s="59"/>
      <c r="V99" s="59"/>
      <c r="W99" s="59"/>
    </row>
    <row r="100" spans="1:23" s="25" customFormat="1">
      <c r="A100" s="211" t="s">
        <v>60</v>
      </c>
      <c r="B100" s="212" t="s">
        <v>18</v>
      </c>
      <c r="C100" s="61"/>
      <c r="D100" s="56"/>
      <c r="E100" s="56"/>
      <c r="F100" s="56"/>
      <c r="G100" s="56"/>
      <c r="H100" s="61"/>
      <c r="I100" s="56"/>
      <c r="J100" s="56"/>
      <c r="K100" s="56"/>
      <c r="L100" s="56"/>
      <c r="M100" s="181"/>
      <c r="N100" s="62"/>
      <c r="O100" s="57"/>
      <c r="P100" s="57"/>
      <c r="Q100" s="57"/>
      <c r="R100" s="57"/>
      <c r="S100" s="58"/>
      <c r="T100" s="59"/>
      <c r="U100" s="59"/>
      <c r="V100" s="59"/>
      <c r="W100" s="59"/>
    </row>
    <row r="101" spans="1:23" s="25" customFormat="1">
      <c r="A101" s="211" t="s">
        <v>118</v>
      </c>
      <c r="B101" s="212" t="s">
        <v>113</v>
      </c>
      <c r="C101" s="61"/>
      <c r="D101" s="56"/>
      <c r="E101" s="56"/>
      <c r="F101" s="56"/>
      <c r="G101" s="56"/>
      <c r="H101" s="61"/>
      <c r="I101" s="56"/>
      <c r="J101" s="56"/>
      <c r="K101" s="56"/>
      <c r="L101" s="56"/>
      <c r="M101" s="181"/>
      <c r="N101" s="62"/>
      <c r="O101" s="57"/>
      <c r="P101" s="57"/>
      <c r="Q101" s="57"/>
      <c r="R101" s="57"/>
      <c r="S101" s="58"/>
      <c r="T101" s="59"/>
      <c r="U101" s="59"/>
      <c r="V101" s="59"/>
      <c r="W101" s="59"/>
    </row>
    <row r="102" spans="1:23" s="25" customFormat="1">
      <c r="A102" s="211" t="s">
        <v>119</v>
      </c>
      <c r="B102" s="212" t="s">
        <v>120</v>
      </c>
      <c r="C102" s="61">
        <f>D102+F102</f>
        <v>36.793000000000006</v>
      </c>
      <c r="D102" s="56"/>
      <c r="E102" s="56"/>
      <c r="F102" s="56">
        <f>F59+F16</f>
        <v>36.793000000000006</v>
      </c>
      <c r="G102" s="56"/>
      <c r="H102" s="61">
        <f>I102+K102</f>
        <v>4.5000000000000005E-3</v>
      </c>
      <c r="I102" s="56"/>
      <c r="J102" s="56"/>
      <c r="K102" s="64">
        <f>(K16*6+K59*6)/12-0.001</f>
        <v>4.5000000000000005E-3</v>
      </c>
      <c r="L102" s="56"/>
      <c r="M102" s="181">
        <f t="shared" ref="M102:M103" si="49">C102/H102</f>
        <v>8176.2222222222226</v>
      </c>
      <c r="N102" s="62"/>
      <c r="O102" s="182"/>
      <c r="P102" s="182"/>
      <c r="Q102" s="182"/>
      <c r="R102" s="182"/>
      <c r="S102" s="182"/>
      <c r="T102" s="182"/>
      <c r="U102" s="182"/>
      <c r="V102" s="182"/>
      <c r="W102" s="182"/>
    </row>
    <row r="103" spans="1:23" s="25" customFormat="1">
      <c r="A103" s="209" t="s">
        <v>19</v>
      </c>
      <c r="B103" s="213" t="s">
        <v>20</v>
      </c>
      <c r="C103" s="61">
        <f>C108+C113</f>
        <v>540452.26100000006</v>
      </c>
      <c r="D103" s="61">
        <f>D108+D113</f>
        <v>204538.64499999999</v>
      </c>
      <c r="E103" s="61">
        <f>E108+E113</f>
        <v>309432.59900000005</v>
      </c>
      <c r="F103" s="61">
        <f>F108+F113</f>
        <v>26481.017</v>
      </c>
      <c r="G103" s="61"/>
      <c r="H103" s="61">
        <f>I103+J103+K103</f>
        <v>70.426500000000004</v>
      </c>
      <c r="I103" s="61">
        <f>I108+I113</f>
        <v>28.755500000000001</v>
      </c>
      <c r="J103" s="61">
        <f>J108+J113+0.001</f>
        <v>38.300999999999995</v>
      </c>
      <c r="K103" s="61">
        <f>K108+K113+0.001</f>
        <v>3.3699999999999997</v>
      </c>
      <c r="L103" s="61"/>
      <c r="M103" s="181">
        <f t="shared" si="49"/>
        <v>7673.9900605595913</v>
      </c>
      <c r="N103" s="62"/>
      <c r="O103" s="182"/>
      <c r="P103" s="182"/>
      <c r="Q103" s="182"/>
      <c r="R103" s="182"/>
      <c r="S103" s="182"/>
      <c r="T103" s="182"/>
      <c r="U103" s="182"/>
      <c r="V103" s="182"/>
      <c r="W103" s="182"/>
    </row>
    <row r="104" spans="1:23" s="25" customFormat="1">
      <c r="A104" s="211" t="s">
        <v>76</v>
      </c>
      <c r="B104" s="60" t="s">
        <v>121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181"/>
      <c r="N104" s="62"/>
      <c r="O104" s="182"/>
      <c r="P104" s="182"/>
      <c r="Q104" s="182"/>
      <c r="R104" s="182"/>
      <c r="S104" s="182"/>
      <c r="T104" s="182"/>
      <c r="U104" s="182"/>
      <c r="V104" s="182"/>
      <c r="W104" s="182"/>
    </row>
    <row r="105" spans="1:23">
      <c r="A105" s="214"/>
      <c r="B105" s="60" t="s">
        <v>122</v>
      </c>
      <c r="C105" s="61"/>
      <c r="D105" s="56"/>
      <c r="E105" s="56"/>
      <c r="F105" s="56"/>
      <c r="G105" s="56"/>
      <c r="H105" s="61"/>
      <c r="I105" s="56"/>
      <c r="J105" s="56"/>
      <c r="K105" s="56"/>
      <c r="L105" s="56"/>
      <c r="M105" s="181"/>
      <c r="N105" s="62"/>
      <c r="O105" s="57"/>
      <c r="P105" s="57"/>
      <c r="Q105" s="57"/>
      <c r="R105" s="57"/>
      <c r="S105" s="63"/>
      <c r="T105" s="59"/>
      <c r="U105" s="59"/>
      <c r="V105" s="59"/>
      <c r="W105" s="59"/>
    </row>
    <row r="106" spans="1:23">
      <c r="A106" s="214"/>
      <c r="B106" s="60" t="s">
        <v>123</v>
      </c>
      <c r="C106" s="61"/>
      <c r="D106" s="56"/>
      <c r="E106" s="56"/>
      <c r="F106" s="56"/>
      <c r="G106" s="56"/>
      <c r="H106" s="61"/>
      <c r="I106" s="56"/>
      <c r="J106" s="56"/>
      <c r="K106" s="56"/>
      <c r="L106" s="56"/>
      <c r="M106" s="181"/>
      <c r="N106" s="62"/>
      <c r="O106" s="57"/>
      <c r="P106" s="57"/>
      <c r="Q106" s="57"/>
      <c r="R106" s="57"/>
      <c r="S106" s="63"/>
      <c r="T106" s="59"/>
      <c r="U106" s="59"/>
      <c r="V106" s="59"/>
      <c r="W106" s="59"/>
    </row>
    <row r="107" spans="1:23" s="47" customFormat="1">
      <c r="A107" s="211"/>
      <c r="B107" s="60" t="s">
        <v>124</v>
      </c>
      <c r="C107" s="61"/>
      <c r="D107" s="56"/>
      <c r="E107" s="56"/>
      <c r="F107" s="56"/>
      <c r="G107" s="56"/>
      <c r="H107" s="61"/>
      <c r="I107" s="56"/>
      <c r="J107" s="56"/>
      <c r="K107" s="56"/>
      <c r="L107" s="56"/>
      <c r="M107" s="181"/>
      <c r="N107" s="62"/>
      <c r="O107" s="57"/>
      <c r="P107" s="57"/>
      <c r="Q107" s="57"/>
      <c r="R107" s="57"/>
      <c r="S107" s="63"/>
      <c r="T107" s="59"/>
      <c r="U107" s="59"/>
      <c r="V107" s="59"/>
      <c r="W107" s="59"/>
    </row>
    <row r="108" spans="1:23" s="25" customFormat="1">
      <c r="A108" s="211" t="s">
        <v>80</v>
      </c>
      <c r="B108" s="215" t="s">
        <v>125</v>
      </c>
      <c r="C108" s="61">
        <f t="shared" ref="C108" si="50">D108+E108+F108</f>
        <v>39531.953000000001</v>
      </c>
      <c r="D108" s="61">
        <f>SUM(D109:D112)</f>
        <v>20436.967000000001</v>
      </c>
      <c r="E108" s="61">
        <f t="shared" ref="E108:F108" si="51">SUM(E109:E112)</f>
        <v>10866.661</v>
      </c>
      <c r="F108" s="61">
        <f t="shared" si="51"/>
        <v>8228.3249999999989</v>
      </c>
      <c r="G108" s="61"/>
      <c r="H108" s="61">
        <f t="shared" ref="H108" si="52">I108+J108+K108</f>
        <v>5.8329999999999993</v>
      </c>
      <c r="I108" s="61">
        <f>I109+I110+I112+0.001</f>
        <v>3.2369999999999997</v>
      </c>
      <c r="J108" s="61">
        <f>J109+J110+J112+J111</f>
        <v>1.4805000000000001</v>
      </c>
      <c r="K108" s="61">
        <f t="shared" ref="K108" si="53">K109+K110+K112</f>
        <v>1.1154999999999997</v>
      </c>
      <c r="L108" s="61"/>
      <c r="M108" s="181">
        <f t="shared" ref="M108" si="54">C108/H108</f>
        <v>6777.2935024858571</v>
      </c>
      <c r="N108" s="62"/>
      <c r="O108" s="182"/>
      <c r="P108" s="182"/>
      <c r="Q108" s="182"/>
      <c r="R108" s="182"/>
      <c r="S108" s="182"/>
      <c r="T108" s="182"/>
      <c r="U108" s="182"/>
      <c r="V108" s="182"/>
      <c r="W108" s="182"/>
    </row>
    <row r="109" spans="1:23" s="47" customFormat="1">
      <c r="A109" s="211"/>
      <c r="B109" s="216" t="s">
        <v>339</v>
      </c>
      <c r="C109" s="61">
        <f t="shared" ref="C109:C112" si="55">D109+E109+F109</f>
        <v>21542.742999999999</v>
      </c>
      <c r="D109" s="56">
        <f>D66+D23</f>
        <v>10834.677</v>
      </c>
      <c r="E109" s="56">
        <f>E66+E23</f>
        <v>2488.1570000000002</v>
      </c>
      <c r="F109" s="56">
        <f>F66+F23</f>
        <v>8219.9089999999997</v>
      </c>
      <c r="G109" s="56"/>
      <c r="H109" s="61">
        <f t="shared" ref="H109:H112" si="56">I109+J109+K109</f>
        <v>3.4009999999999998</v>
      </c>
      <c r="I109" s="64">
        <f>(I23*6+I66*6)/12-0.002</f>
        <v>1.8885000000000001</v>
      </c>
      <c r="J109" s="64">
        <f>(J23*6+J66*6)/12-0.001</f>
        <v>0.39800000000000002</v>
      </c>
      <c r="K109" s="64">
        <f>(K23*6+K66*6)/12</f>
        <v>1.1144999999999998</v>
      </c>
      <c r="L109" s="56"/>
      <c r="M109" s="181">
        <f t="shared" ref="M109:M130" si="57">C109/H109</f>
        <v>6334.2378712143491</v>
      </c>
      <c r="N109" s="62"/>
      <c r="O109" s="65"/>
      <c r="P109" s="65"/>
      <c r="Q109" s="65"/>
      <c r="R109" s="65"/>
      <c r="S109" s="63"/>
      <c r="T109" s="59"/>
      <c r="U109" s="59"/>
      <c r="V109" s="59"/>
      <c r="W109" s="59"/>
    </row>
    <row r="110" spans="1:23" s="47" customFormat="1">
      <c r="A110" s="211"/>
      <c r="B110" s="216" t="s">
        <v>282</v>
      </c>
      <c r="C110" s="61">
        <f t="shared" si="55"/>
        <v>9333.7330000000002</v>
      </c>
      <c r="D110" s="56">
        <f>D67+D24</f>
        <v>9333.7330000000002</v>
      </c>
      <c r="E110" s="56"/>
      <c r="F110" s="56"/>
      <c r="G110" s="56"/>
      <c r="H110" s="61">
        <f t="shared" si="56"/>
        <v>1.3025</v>
      </c>
      <c r="I110" s="64">
        <f>(I24*6+I67*6)/12</f>
        <v>1.3025</v>
      </c>
      <c r="J110" s="64"/>
      <c r="K110" s="64"/>
      <c r="L110" s="56"/>
      <c r="M110" s="181">
        <f t="shared" si="57"/>
        <v>7166.0138195777354</v>
      </c>
      <c r="N110" s="62"/>
      <c r="O110" s="65"/>
      <c r="P110" s="65"/>
      <c r="Q110" s="65"/>
      <c r="R110" s="65"/>
      <c r="S110" s="63"/>
      <c r="T110" s="63"/>
      <c r="U110" s="59"/>
      <c r="V110" s="59"/>
      <c r="W110" s="59"/>
    </row>
    <row r="111" spans="1:23" s="47" customFormat="1">
      <c r="A111" s="211"/>
      <c r="B111" s="216" t="s">
        <v>341</v>
      </c>
      <c r="C111" s="61">
        <f t="shared" si="55"/>
        <v>3548.0209999999997</v>
      </c>
      <c r="D111" s="56"/>
      <c r="E111" s="56">
        <f>E68+E25</f>
        <v>3548.0209999999997</v>
      </c>
      <c r="F111" s="56"/>
      <c r="G111" s="56"/>
      <c r="H111" s="61">
        <f t="shared" si="56"/>
        <v>0.47500000000000009</v>
      </c>
      <c r="I111" s="64"/>
      <c r="J111" s="64">
        <f>(J25*6+J68*6)/12</f>
        <v>0.47500000000000009</v>
      </c>
      <c r="K111" s="64"/>
      <c r="L111" s="56"/>
      <c r="M111" s="181">
        <f t="shared" si="57"/>
        <v>7469.5178947368404</v>
      </c>
      <c r="N111" s="62"/>
      <c r="O111" s="65"/>
      <c r="P111" s="65"/>
      <c r="Q111" s="65"/>
      <c r="R111" s="65"/>
      <c r="S111" s="63"/>
      <c r="T111" s="63"/>
      <c r="U111" s="59"/>
      <c r="V111" s="59"/>
      <c r="W111" s="59"/>
    </row>
    <row r="112" spans="1:23" s="47" customFormat="1">
      <c r="A112" s="211"/>
      <c r="B112" s="60" t="str">
        <f>B69</f>
        <v>ЗАО "ЭПК"</v>
      </c>
      <c r="C112" s="61">
        <f t="shared" si="55"/>
        <v>5107.4559999999992</v>
      </c>
      <c r="D112" s="56">
        <f>D69+D26</f>
        <v>268.55700000000002</v>
      </c>
      <c r="E112" s="56">
        <f>E69+E26</f>
        <v>4830.4829999999993</v>
      </c>
      <c r="F112" s="56">
        <f>F69+F26</f>
        <v>8.4160000000000004</v>
      </c>
      <c r="G112" s="56"/>
      <c r="H112" s="61">
        <f t="shared" si="56"/>
        <v>0.65350000000000008</v>
      </c>
      <c r="I112" s="64">
        <f>(I26*6+I69*6)/12</f>
        <v>4.5000000000000005E-2</v>
      </c>
      <c r="J112" s="64">
        <f>(J26*6+J69*6)/12</f>
        <v>0.60750000000000004</v>
      </c>
      <c r="K112" s="64">
        <f>(K26*6+K69*6)/12</f>
        <v>1E-3</v>
      </c>
      <c r="L112" s="56"/>
      <c r="M112" s="181">
        <f>E112/J112</f>
        <v>7951.4123456790103</v>
      </c>
      <c r="N112" s="62"/>
      <c r="O112" s="65"/>
      <c r="P112" s="65"/>
      <c r="Q112" s="65"/>
      <c r="R112" s="65"/>
      <c r="S112" s="63"/>
      <c r="T112" s="59"/>
      <c r="U112" s="59"/>
      <c r="V112" s="59"/>
      <c r="W112" s="59"/>
    </row>
    <row r="113" spans="1:23" s="25" customFormat="1">
      <c r="A113" s="211" t="s">
        <v>126</v>
      </c>
      <c r="B113" s="215" t="s">
        <v>127</v>
      </c>
      <c r="C113" s="61">
        <f>D113+E113+F113</f>
        <v>500920.30800000002</v>
      </c>
      <c r="D113" s="61">
        <f>SUM(D114:D122)</f>
        <v>184101.67799999999</v>
      </c>
      <c r="E113" s="61">
        <f t="shared" ref="E113:F113" si="58">SUM(E114:E122)</f>
        <v>298565.93800000002</v>
      </c>
      <c r="F113" s="61">
        <f t="shared" si="58"/>
        <v>18252.691999999999</v>
      </c>
      <c r="G113" s="61"/>
      <c r="H113" s="61">
        <f>I113+J113+K113+0.001</f>
        <v>64.592500000000001</v>
      </c>
      <c r="I113" s="61">
        <f>SUM(I114:I122)+0.001</f>
        <v>25.518500000000003</v>
      </c>
      <c r="J113" s="61">
        <f>SUM(J114:J122)</f>
        <v>36.819499999999998</v>
      </c>
      <c r="K113" s="61">
        <f>SUM(K114:K122)</f>
        <v>2.2534999999999998</v>
      </c>
      <c r="L113" s="61"/>
      <c r="M113" s="181">
        <f t="shared" si="57"/>
        <v>7755.0846924952593</v>
      </c>
      <c r="N113" s="62"/>
      <c r="O113" s="182"/>
      <c r="P113" s="182"/>
      <c r="Q113" s="182"/>
      <c r="R113" s="182"/>
      <c r="S113" s="182"/>
      <c r="T113" s="182"/>
      <c r="U113" s="182"/>
      <c r="V113" s="182"/>
      <c r="W113" s="182"/>
    </row>
    <row r="114" spans="1:23" s="25" customFormat="1">
      <c r="A114" s="211"/>
      <c r="B114" s="216" t="s">
        <v>279</v>
      </c>
      <c r="C114" s="61">
        <f>D114+F114+E114</f>
        <v>46980.293000000005</v>
      </c>
      <c r="D114" s="56">
        <f>D71+D28</f>
        <v>35025.171000000002</v>
      </c>
      <c r="E114" s="56"/>
      <c r="F114" s="56">
        <f>F71+F28</f>
        <v>11955.121999999999</v>
      </c>
      <c r="G114" s="56"/>
      <c r="H114" s="61">
        <f t="shared" ref="H114:H128" si="59">I114+J114+K114</f>
        <v>6.1415000000000006</v>
      </c>
      <c r="I114" s="64">
        <f>(I28*6+I71*6)/12</f>
        <v>4.6165000000000003</v>
      </c>
      <c r="J114" s="64"/>
      <c r="K114" s="64">
        <f>(K28*6+K71*6)/12</f>
        <v>1.5250000000000001</v>
      </c>
      <c r="L114" s="56"/>
      <c r="M114" s="181">
        <f t="shared" si="57"/>
        <v>7649.6447122038589</v>
      </c>
      <c r="N114" s="62"/>
      <c r="O114" s="182"/>
      <c r="P114" s="182"/>
      <c r="Q114" s="182"/>
      <c r="R114" s="182"/>
      <c r="S114" s="182"/>
      <c r="T114" s="182"/>
      <c r="U114" s="182"/>
      <c r="V114" s="182"/>
      <c r="W114" s="182"/>
    </row>
    <row r="115" spans="1:23" s="47" customFormat="1" ht="14.25" hidden="1" customHeight="1">
      <c r="A115" s="211"/>
      <c r="B115" s="216" t="s">
        <v>283</v>
      </c>
      <c r="C115" s="61">
        <f t="shared" ref="C115" si="60">D115+E115+F115</f>
        <v>0</v>
      </c>
      <c r="D115" s="56">
        <f>D72+D29</f>
        <v>0</v>
      </c>
      <c r="E115" s="56"/>
      <c r="F115" s="56"/>
      <c r="G115" s="56"/>
      <c r="H115" s="61">
        <f>I115+J115+K115</f>
        <v>0</v>
      </c>
      <c r="I115" s="64">
        <f>(I29*6+I72*6)/12</f>
        <v>0</v>
      </c>
      <c r="J115" s="64"/>
      <c r="K115" s="64"/>
      <c r="L115" s="56"/>
      <c r="M115" s="181" t="e">
        <f t="shared" si="57"/>
        <v>#DIV/0!</v>
      </c>
      <c r="N115" s="62"/>
      <c r="O115" s="65"/>
      <c r="P115" s="65"/>
      <c r="Q115" s="65"/>
      <c r="R115" s="65"/>
      <c r="S115" s="63"/>
      <c r="T115" s="63"/>
      <c r="U115" s="63"/>
      <c r="V115" s="63"/>
      <c r="W115" s="59"/>
    </row>
    <row r="116" spans="1:23" s="47" customFormat="1" ht="14.25" customHeight="1">
      <c r="A116" s="211"/>
      <c r="B116" s="216" t="s">
        <v>280</v>
      </c>
      <c r="C116" s="61">
        <f t="shared" ref="C116:C119" si="61">D116+F116+E116</f>
        <v>9049.5410000000011</v>
      </c>
      <c r="D116" s="56">
        <f>D73+D30</f>
        <v>9049.5410000000011</v>
      </c>
      <c r="E116" s="56"/>
      <c r="F116" s="56"/>
      <c r="G116" s="56"/>
      <c r="H116" s="61">
        <f t="shared" ref="H116:H122" si="62">I116+J116+K116</f>
        <v>1.7625</v>
      </c>
      <c r="I116" s="64">
        <f>(I30*6+I73*6)/12</f>
        <v>1.7625</v>
      </c>
      <c r="J116" s="56"/>
      <c r="K116" s="56"/>
      <c r="L116" s="56"/>
      <c r="M116" s="181">
        <f t="shared" si="57"/>
        <v>5134.4913475177309</v>
      </c>
      <c r="N116" s="62"/>
      <c r="O116" s="65"/>
      <c r="P116" s="244"/>
      <c r="Q116" s="65"/>
      <c r="R116" s="65"/>
      <c r="S116" s="63"/>
      <c r="T116" s="63"/>
      <c r="U116" s="63"/>
      <c r="V116" s="63"/>
      <c r="W116" s="59"/>
    </row>
    <row r="117" spans="1:23" s="47" customFormat="1" ht="14.25" customHeight="1">
      <c r="A117" s="211"/>
      <c r="B117" s="216" t="s">
        <v>281</v>
      </c>
      <c r="C117" s="61">
        <f t="shared" si="61"/>
        <v>16675.638999999999</v>
      </c>
      <c r="D117" s="56">
        <f>D74+D31</f>
        <v>16675.638999999999</v>
      </c>
      <c r="E117" s="56"/>
      <c r="F117" s="56"/>
      <c r="G117" s="56"/>
      <c r="H117" s="61">
        <f t="shared" si="62"/>
        <v>2.117</v>
      </c>
      <c r="I117" s="64">
        <f>(I31*6+I74*6)/12</f>
        <v>2.117</v>
      </c>
      <c r="J117" s="64"/>
      <c r="K117" s="64"/>
      <c r="L117" s="56"/>
      <c r="M117" s="181">
        <f t="shared" si="57"/>
        <v>7877.0141709966929</v>
      </c>
      <c r="N117" s="62"/>
      <c r="O117" s="65"/>
      <c r="P117" s="65"/>
      <c r="Q117" s="65"/>
      <c r="R117" s="65"/>
      <c r="S117" s="63"/>
      <c r="T117" s="63"/>
      <c r="U117" s="63"/>
      <c r="V117" s="63"/>
      <c r="W117" s="59"/>
    </row>
    <row r="118" spans="1:23" s="47" customFormat="1" ht="14.25" customHeight="1">
      <c r="A118" s="211"/>
      <c r="B118" s="239" t="s">
        <v>307</v>
      </c>
      <c r="C118" s="61">
        <f t="shared" si="61"/>
        <v>349397.82199999999</v>
      </c>
      <c r="D118" s="56">
        <f>D75+D32</f>
        <v>84559.47099999999</v>
      </c>
      <c r="E118" s="56">
        <f>E75+E32</f>
        <v>260696.065</v>
      </c>
      <c r="F118" s="56">
        <f>F75+F32</f>
        <v>4142.2860000000001</v>
      </c>
      <c r="G118" s="56"/>
      <c r="H118" s="61">
        <f>I118+J118+K118</f>
        <v>43.735499999999995</v>
      </c>
      <c r="I118" s="64">
        <f>(I32*6+I75*6)/12</f>
        <v>11.041499999999999</v>
      </c>
      <c r="J118" s="64">
        <v>32.174999999999997</v>
      </c>
      <c r="K118" s="64">
        <f>(K32*6+K75*6)/12</f>
        <v>0.51900000000000002</v>
      </c>
      <c r="L118" s="56"/>
      <c r="M118" s="181">
        <f t="shared" si="57"/>
        <v>7988.8836757325289</v>
      </c>
      <c r="N118" s="62"/>
      <c r="O118" s="65"/>
      <c r="P118" s="65"/>
      <c r="Q118" s="65"/>
      <c r="R118" s="65"/>
      <c r="S118" s="63"/>
      <c r="T118" s="63"/>
      <c r="U118" s="63"/>
      <c r="V118" s="63"/>
      <c r="W118" s="59"/>
    </row>
    <row r="119" spans="1:23" s="47" customFormat="1" ht="14.25" hidden="1" customHeight="1">
      <c r="A119" s="211"/>
      <c r="B119" s="239" t="s">
        <v>283</v>
      </c>
      <c r="C119" s="61">
        <f t="shared" si="61"/>
        <v>0</v>
      </c>
      <c r="D119" s="56"/>
      <c r="E119" s="56">
        <f>E76+E33</f>
        <v>0</v>
      </c>
      <c r="F119" s="56"/>
      <c r="G119" s="56"/>
      <c r="H119" s="61">
        <f>I119+J119+K119</f>
        <v>0</v>
      </c>
      <c r="I119" s="56"/>
      <c r="J119" s="64">
        <f>(J33*6+J76*6)/12</f>
        <v>0</v>
      </c>
      <c r="K119" s="56"/>
      <c r="L119" s="56"/>
      <c r="M119" s="181" t="e">
        <f t="shared" si="57"/>
        <v>#DIV/0!</v>
      </c>
      <c r="N119" s="62"/>
      <c r="O119" s="65"/>
      <c r="P119" s="65"/>
      <c r="Q119" s="65"/>
      <c r="R119" s="65"/>
      <c r="S119" s="63"/>
      <c r="T119" s="63"/>
      <c r="U119" s="63"/>
      <c r="V119" s="63"/>
      <c r="W119" s="59"/>
    </row>
    <row r="120" spans="1:23" s="47" customFormat="1" ht="14.25" customHeight="1">
      <c r="A120" s="211"/>
      <c r="B120" s="239" t="s">
        <v>340</v>
      </c>
      <c r="C120" s="61">
        <f t="shared" ref="C120" si="63">D120+F120+E120</f>
        <v>26324.271999999997</v>
      </c>
      <c r="D120" s="56">
        <f>D77+D34</f>
        <v>26324.271999999997</v>
      </c>
      <c r="E120" s="56"/>
      <c r="F120" s="56"/>
      <c r="G120" s="56"/>
      <c r="H120" s="61">
        <f t="shared" ref="H120:H121" si="64">I120+J120+K120</f>
        <v>3.2840000000000003</v>
      </c>
      <c r="I120" s="64">
        <f>(I34*6+I77*6)/12</f>
        <v>3.2840000000000003</v>
      </c>
      <c r="J120" s="64"/>
      <c r="K120" s="64"/>
      <c r="L120" s="56"/>
      <c r="M120" s="181">
        <f t="shared" ref="M120:M121" si="65">C120/H120</f>
        <v>8015.91717417783</v>
      </c>
      <c r="N120" s="62"/>
      <c r="O120" s="65"/>
      <c r="P120" s="65"/>
      <c r="Q120" s="65"/>
      <c r="R120" s="65"/>
      <c r="S120" s="63"/>
      <c r="T120" s="63"/>
      <c r="U120" s="63"/>
      <c r="V120" s="63"/>
      <c r="W120" s="59"/>
    </row>
    <row r="121" spans="1:23" s="47" customFormat="1" ht="14.25" customHeight="1">
      <c r="A121" s="211"/>
      <c r="B121" s="239" t="s">
        <v>283</v>
      </c>
      <c r="C121" s="61">
        <f t="shared" ref="C121" si="66">D121+E121+F121</f>
        <v>651.45300000000009</v>
      </c>
      <c r="D121" s="56"/>
      <c r="E121" s="56">
        <f>E78+E35</f>
        <v>651.45300000000009</v>
      </c>
      <c r="F121" s="56"/>
      <c r="G121" s="56"/>
      <c r="H121" s="61">
        <f t="shared" si="64"/>
        <v>9.4999999999999987E-2</v>
      </c>
      <c r="I121" s="64"/>
      <c r="J121" s="64">
        <f>(J35*6+J78*6)/12</f>
        <v>9.4999999999999987E-2</v>
      </c>
      <c r="K121" s="64"/>
      <c r="L121" s="56"/>
      <c r="M121" s="181">
        <f t="shared" si="65"/>
        <v>6857.4000000000015</v>
      </c>
      <c r="N121" s="62"/>
      <c r="O121" s="65"/>
      <c r="P121" s="65"/>
      <c r="Q121" s="65"/>
      <c r="R121" s="65"/>
      <c r="S121" s="63"/>
      <c r="T121" s="63"/>
      <c r="U121" s="63"/>
      <c r="V121" s="63"/>
      <c r="W121" s="59"/>
    </row>
    <row r="122" spans="1:23" s="47" customFormat="1" ht="14.25" customHeight="1">
      <c r="A122" s="211"/>
      <c r="B122" s="216" t="s">
        <v>308</v>
      </c>
      <c r="C122" s="61">
        <f>D122+F122+E122</f>
        <v>51841.288</v>
      </c>
      <c r="D122" s="56">
        <f>D79+D36</f>
        <v>12467.584000000001</v>
      </c>
      <c r="E122" s="56">
        <f>E79+E36</f>
        <v>37218.42</v>
      </c>
      <c r="F122" s="56">
        <f>F79+F36</f>
        <v>2155.2840000000001</v>
      </c>
      <c r="G122" s="56"/>
      <c r="H122" s="61">
        <f t="shared" si="62"/>
        <v>7.455000000000001</v>
      </c>
      <c r="I122" s="64">
        <f>(I36*6+I79*6)/12-0.001</f>
        <v>2.6960000000000006</v>
      </c>
      <c r="J122" s="64">
        <f>(J36*6+J79*6)/12</f>
        <v>4.5495000000000001</v>
      </c>
      <c r="K122" s="64">
        <f>(K36*6+K79*6)/12-0.001</f>
        <v>0.20949999999999999</v>
      </c>
      <c r="L122" s="56"/>
      <c r="M122" s="181">
        <f t="shared" si="57"/>
        <v>6953.8951039570748</v>
      </c>
      <c r="N122" s="62"/>
      <c r="O122" s="65"/>
      <c r="P122" s="65"/>
      <c r="Q122" s="65"/>
      <c r="R122" s="65"/>
      <c r="S122" s="63"/>
      <c r="T122" s="63"/>
      <c r="U122" s="63"/>
      <c r="V122" s="63"/>
      <c r="W122" s="59"/>
    </row>
    <row r="123" spans="1:23">
      <c r="A123" s="217" t="s">
        <v>128</v>
      </c>
      <c r="B123" s="218" t="s">
        <v>129</v>
      </c>
      <c r="C123" s="61">
        <f>D123+E123+F123</f>
        <v>69313.725999999995</v>
      </c>
      <c r="D123" s="61">
        <f>SUM(D124:D127)</f>
        <v>4005.5729999999999</v>
      </c>
      <c r="E123" s="61">
        <f>E124+E125+E127+E128</f>
        <v>65030.580999999991</v>
      </c>
      <c r="F123" s="61">
        <f>F124+F125+F127+F128</f>
        <v>277.572</v>
      </c>
      <c r="G123" s="61"/>
      <c r="H123" s="61">
        <f>I123+J123+K123+0.001</f>
        <v>12.326500000000001</v>
      </c>
      <c r="I123" s="61">
        <f>SUM(I124:I127)</f>
        <v>0.62949999999999995</v>
      </c>
      <c r="J123" s="61">
        <f t="shared" ref="J123" si="67">J124+J125+J127+J128+J129</f>
        <v>11.656500000000001</v>
      </c>
      <c r="K123" s="61">
        <f>K124+K125+K127+K128+K129</f>
        <v>3.95E-2</v>
      </c>
      <c r="L123" s="61"/>
      <c r="M123" s="181">
        <f t="shared" si="57"/>
        <v>5623.1473654321981</v>
      </c>
      <c r="N123" s="62"/>
      <c r="O123" s="182"/>
      <c r="P123" s="182"/>
      <c r="Q123" s="182"/>
      <c r="R123" s="182"/>
      <c r="S123" s="182"/>
      <c r="T123" s="182"/>
      <c r="U123" s="182"/>
      <c r="V123" s="182"/>
      <c r="W123" s="182"/>
    </row>
    <row r="124" spans="1:23" s="47" customFormat="1">
      <c r="A124" s="211"/>
      <c r="B124" s="216" t="str">
        <f>B81</f>
        <v>ПАО "Россети Сибирь" - "Кузбассэнерго - РЭС"</v>
      </c>
      <c r="C124" s="61">
        <f>D124+E124+F124</f>
        <v>277.572</v>
      </c>
      <c r="D124" s="56"/>
      <c r="E124" s="56"/>
      <c r="F124" s="56">
        <f>F81+F38</f>
        <v>277.572</v>
      </c>
      <c r="G124" s="56"/>
      <c r="H124" s="61">
        <f t="shared" si="59"/>
        <v>3.95E-2</v>
      </c>
      <c r="I124" s="56"/>
      <c r="J124" s="56"/>
      <c r="K124" s="64">
        <f>(K38*6+K81*6)/12</f>
        <v>3.95E-2</v>
      </c>
      <c r="L124" s="56"/>
      <c r="M124" s="181">
        <f t="shared" si="57"/>
        <v>7027.1392405063289</v>
      </c>
      <c r="N124" s="62"/>
      <c r="O124" s="57"/>
      <c r="P124" s="57"/>
      <c r="Q124" s="57"/>
      <c r="R124" s="57"/>
      <c r="S124" s="63"/>
      <c r="T124" s="59"/>
      <c r="U124" s="59"/>
      <c r="V124" s="59"/>
      <c r="W124" s="59"/>
    </row>
    <row r="125" spans="1:23" s="47" customFormat="1">
      <c r="A125" s="211"/>
      <c r="B125" s="216" t="s">
        <v>304</v>
      </c>
      <c r="C125" s="61">
        <f t="shared" ref="C125:C127" si="68">D125+E125+F125</f>
        <v>59061.816999999995</v>
      </c>
      <c r="D125" s="56"/>
      <c r="E125" s="56">
        <f>E82+E39</f>
        <v>59061.816999999995</v>
      </c>
      <c r="F125" s="56"/>
      <c r="G125" s="56"/>
      <c r="H125" s="61">
        <f t="shared" si="59"/>
        <v>10.587000000000002</v>
      </c>
      <c r="I125" s="56"/>
      <c r="J125" s="64">
        <f>(J39*6+J82*6)/12</f>
        <v>10.587000000000002</v>
      </c>
      <c r="K125" s="56"/>
      <c r="L125" s="56"/>
      <c r="M125" s="181">
        <f t="shared" si="57"/>
        <v>5578.7113441012552</v>
      </c>
      <c r="N125" s="62"/>
      <c r="O125" s="57"/>
      <c r="P125" s="57"/>
      <c r="Q125" s="57"/>
      <c r="R125" s="57"/>
      <c r="S125" s="63"/>
      <c r="T125" s="59"/>
      <c r="U125" s="59"/>
      <c r="V125" s="59"/>
      <c r="W125" s="59"/>
    </row>
    <row r="126" spans="1:23" s="47" customFormat="1">
      <c r="A126" s="211"/>
      <c r="B126" s="216" t="s">
        <v>306</v>
      </c>
      <c r="C126" s="61">
        <f t="shared" ref="C126" si="69">D126+E126+F126</f>
        <v>4005.5729999999999</v>
      </c>
      <c r="D126" s="56">
        <f>D83+D40</f>
        <v>4005.5729999999999</v>
      </c>
      <c r="E126" s="56"/>
      <c r="F126" s="56"/>
      <c r="G126" s="56"/>
      <c r="H126" s="61">
        <f t="shared" ref="H126" si="70">I126+J126+K126</f>
        <v>0.62949999999999995</v>
      </c>
      <c r="I126" s="64">
        <f>(I40*6+I83*6)/12-0.001</f>
        <v>0.62949999999999995</v>
      </c>
      <c r="J126" s="64"/>
      <c r="K126" s="56"/>
      <c r="L126" s="56"/>
      <c r="M126" s="181">
        <f t="shared" ref="M126" si="71">C126/H126</f>
        <v>6363.1024622716441</v>
      </c>
      <c r="N126" s="62"/>
      <c r="O126" s="57"/>
      <c r="P126" s="57"/>
      <c r="Q126" s="57"/>
      <c r="R126" s="57"/>
      <c r="S126" s="63"/>
      <c r="T126" s="59"/>
      <c r="U126" s="59"/>
      <c r="V126" s="59"/>
      <c r="W126" s="59"/>
    </row>
    <row r="127" spans="1:23" s="47" customFormat="1">
      <c r="A127" s="211"/>
      <c r="B127" s="216" t="s">
        <v>284</v>
      </c>
      <c r="C127" s="61">
        <f t="shared" si="68"/>
        <v>5968.7639999999992</v>
      </c>
      <c r="D127" s="56"/>
      <c r="E127" s="56">
        <f>E84+E41</f>
        <v>5968.7639999999992</v>
      </c>
      <c r="F127" s="56"/>
      <c r="G127" s="56"/>
      <c r="H127" s="61">
        <f t="shared" si="59"/>
        <v>1.0694999999999999</v>
      </c>
      <c r="I127" s="56"/>
      <c r="J127" s="64">
        <f>(J41*6+J84*6)/12</f>
        <v>1.0694999999999999</v>
      </c>
      <c r="K127" s="56"/>
      <c r="L127" s="56"/>
      <c r="M127" s="181">
        <f t="shared" si="57"/>
        <v>5580.8920056100978</v>
      </c>
      <c r="N127" s="62"/>
      <c r="O127" s="57"/>
      <c r="P127" s="57"/>
      <c r="Q127" s="57"/>
      <c r="R127" s="57"/>
      <c r="S127" s="63"/>
      <c r="T127" s="59"/>
      <c r="U127" s="59"/>
      <c r="V127" s="59"/>
      <c r="W127" s="59"/>
    </row>
    <row r="128" spans="1:23" s="47" customFormat="1" hidden="1">
      <c r="A128" s="211"/>
      <c r="B128" s="216">
        <f>B86</f>
        <v>0</v>
      </c>
      <c r="C128" s="61">
        <f>D128+E128+F128</f>
        <v>0</v>
      </c>
      <c r="D128" s="56"/>
      <c r="E128" s="56"/>
      <c r="F128" s="56"/>
      <c r="G128" s="56"/>
      <c r="H128" s="61">
        <f t="shared" si="59"/>
        <v>0</v>
      </c>
      <c r="I128" s="56"/>
      <c r="J128" s="56"/>
      <c r="K128" s="56"/>
      <c r="L128" s="56"/>
      <c r="M128" s="181" t="e">
        <f t="shared" si="57"/>
        <v>#DIV/0!</v>
      </c>
      <c r="N128" s="62"/>
      <c r="O128" s="57"/>
      <c r="P128" s="57"/>
      <c r="Q128" s="57"/>
      <c r="R128" s="57"/>
      <c r="S128" s="63"/>
      <c r="T128" s="59"/>
      <c r="U128" s="63"/>
      <c r="V128" s="59"/>
      <c r="W128" s="59"/>
    </row>
    <row r="129" spans="1:23" s="47" customFormat="1" hidden="1">
      <c r="A129" s="211"/>
      <c r="B129" s="216"/>
      <c r="C129" s="61"/>
      <c r="D129" s="56"/>
      <c r="E129" s="56"/>
      <c r="F129" s="56"/>
      <c r="G129" s="56"/>
      <c r="H129" s="61"/>
      <c r="I129" s="56"/>
      <c r="J129" s="56"/>
      <c r="K129" s="56"/>
      <c r="L129" s="56"/>
      <c r="M129" s="181"/>
      <c r="N129" s="62"/>
      <c r="O129" s="57"/>
      <c r="P129" s="57"/>
      <c r="Q129" s="57"/>
      <c r="R129" s="57"/>
      <c r="S129" s="63"/>
      <c r="T129" s="59"/>
      <c r="U129" s="63"/>
      <c r="V129" s="59"/>
      <c r="W129" s="59"/>
    </row>
    <row r="130" spans="1:23" s="25" customFormat="1">
      <c r="A130" s="217" t="s">
        <v>130</v>
      </c>
      <c r="B130" s="213" t="s">
        <v>131</v>
      </c>
      <c r="C130" s="61">
        <f t="shared" ref="C130:G130" si="72">C123+C103+C95</f>
        <v>611439.22100000014</v>
      </c>
      <c r="D130" s="61">
        <f t="shared" si="72"/>
        <v>208625.53399999999</v>
      </c>
      <c r="E130" s="61">
        <f t="shared" si="72"/>
        <v>374463.18000000005</v>
      </c>
      <c r="F130" s="61">
        <f>F123+F103+F95</f>
        <v>28350.507000000001</v>
      </c>
      <c r="G130" s="61">
        <f t="shared" si="72"/>
        <v>0</v>
      </c>
      <c r="H130" s="61">
        <f>H123+H103+H95+0.001</f>
        <v>83.077500000000001</v>
      </c>
      <c r="I130" s="61">
        <f>I123+I103+I95+0.001</f>
        <v>29.431500000000003</v>
      </c>
      <c r="J130" s="61">
        <f>J123+J103+J95</f>
        <v>49.957499999999996</v>
      </c>
      <c r="K130" s="61">
        <f>K123+K103+K95</f>
        <v>3.6874999999999996</v>
      </c>
      <c r="L130" s="61"/>
      <c r="M130" s="181">
        <f t="shared" si="57"/>
        <v>7359.8654388974164</v>
      </c>
      <c r="N130" s="62"/>
      <c r="O130" s="182"/>
      <c r="P130" s="182"/>
      <c r="Q130" s="182"/>
      <c r="R130" s="182"/>
      <c r="S130" s="182"/>
      <c r="T130" s="182"/>
      <c r="U130" s="182"/>
      <c r="V130" s="182"/>
      <c r="W130" s="182"/>
    </row>
    <row r="131" spans="1:23">
      <c r="H131" s="309"/>
      <c r="I131" s="309"/>
      <c r="J131" s="309"/>
      <c r="K131" s="309"/>
    </row>
    <row r="132" spans="1:23">
      <c r="D132" s="238"/>
      <c r="E132" s="238"/>
      <c r="F132" s="238"/>
      <c r="H132" s="233">
        <f>H130-H123</f>
        <v>70.751000000000005</v>
      </c>
      <c r="I132" s="233">
        <f>I130-I123</f>
        <v>28.802000000000003</v>
      </c>
      <c r="J132" s="233">
        <f>J130-J123</f>
        <v>38.300999999999995</v>
      </c>
      <c r="K132" s="233">
        <f>K130-K123</f>
        <v>3.6479999999999997</v>
      </c>
    </row>
    <row r="134" spans="1:23">
      <c r="D134" s="238"/>
      <c r="E134" s="238"/>
      <c r="F134" s="238"/>
    </row>
  </sheetData>
  <mergeCells count="26">
    <mergeCell ref="A8:W8"/>
    <mergeCell ref="A48:A49"/>
    <mergeCell ref="B48:B49"/>
    <mergeCell ref="C48:G48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8:L48"/>
    <mergeCell ref="M48:M49"/>
    <mergeCell ref="N48:R48"/>
    <mergeCell ref="S48:W48"/>
    <mergeCell ref="A94:W94"/>
    <mergeCell ref="A51:W51"/>
    <mergeCell ref="A91:A92"/>
    <mergeCell ref="B91:B92"/>
    <mergeCell ref="C91:G91"/>
    <mergeCell ref="H91:L91"/>
    <mergeCell ref="M91:M92"/>
    <mergeCell ref="N91:R91"/>
    <mergeCell ref="S91:W91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5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1"/>
  <sheetViews>
    <sheetView view="pageBreakPreview" topLeftCell="C94" zoomScale="75" zoomScaleNormal="75" zoomScaleSheetLayoutView="75" workbookViewId="0">
      <selection activeCell="R19" sqref="R19"/>
    </sheetView>
  </sheetViews>
  <sheetFormatPr defaultColWidth="9.140625" defaultRowHeight="15.75"/>
  <cols>
    <col min="1" max="1" width="9.140625" style="118"/>
    <col min="2" max="2" width="67.5703125" style="119" customWidth="1"/>
    <col min="3" max="3" width="17.42578125" style="120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20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20" customWidth="1"/>
    <col min="12" max="13" width="12.140625" style="1" customWidth="1"/>
    <col min="14" max="14" width="19" style="1" customWidth="1"/>
    <col min="15" max="16384" width="9.140625" style="1"/>
  </cols>
  <sheetData>
    <row r="1" spans="1:14" s="69" customFormat="1">
      <c r="A1" s="66" t="s">
        <v>132</v>
      </c>
      <c r="B1" s="67"/>
      <c r="C1" s="68"/>
      <c r="G1" s="68"/>
      <c r="K1" s="68"/>
      <c r="N1" s="69" t="s">
        <v>133</v>
      </c>
    </row>
    <row r="2" spans="1:14" s="69" customFormat="1" ht="36.75" customHeight="1">
      <c r="A2" s="354" t="s">
        <v>347</v>
      </c>
      <c r="B2" s="354"/>
      <c r="C2" s="355"/>
      <c r="D2" s="355"/>
      <c r="E2" s="355"/>
      <c r="F2" s="355"/>
    </row>
    <row r="3" spans="1:14" s="69" customFormat="1" ht="18.75" customHeight="1">
      <c r="A3" s="349" t="str">
        <f>П1.6!I3</f>
        <v>ОАО "КузбассЭлектро"</v>
      </c>
      <c r="B3" s="349"/>
      <c r="C3" s="349"/>
      <c r="D3" s="349"/>
      <c r="E3" s="349"/>
      <c r="F3" s="349"/>
    </row>
    <row r="4" spans="1:14" s="69" customFormat="1" ht="16.5" thickBot="1">
      <c r="A4" s="70"/>
      <c r="B4" s="71"/>
      <c r="C4" s="72"/>
      <c r="D4" s="70"/>
      <c r="E4" s="70"/>
      <c r="F4" s="70"/>
      <c r="G4" s="72"/>
      <c r="H4" s="70"/>
      <c r="I4" s="70"/>
      <c r="J4" s="70"/>
      <c r="K4" s="72"/>
      <c r="L4" s="70"/>
      <c r="M4" s="70"/>
      <c r="N4" s="70"/>
    </row>
    <row r="5" spans="1:14" ht="27" customHeight="1">
      <c r="A5" s="356" t="s">
        <v>134</v>
      </c>
      <c r="B5" s="358" t="s">
        <v>12</v>
      </c>
      <c r="C5" s="360" t="str">
        <f>П1.6!A8</f>
        <v>1 полугодие 2020г. ФАКТ</v>
      </c>
      <c r="D5" s="351"/>
      <c r="E5" s="352"/>
      <c r="F5" s="353"/>
      <c r="G5" s="350" t="str">
        <f>П1.5!I4</f>
        <v>2 полугодие 2020г. ФАКТ</v>
      </c>
      <c r="H5" s="351"/>
      <c r="I5" s="352"/>
      <c r="J5" s="353"/>
      <c r="K5" s="350" t="str">
        <f>П1.5!N4</f>
        <v>2020 год ФАКТ</v>
      </c>
      <c r="L5" s="351"/>
      <c r="M5" s="352"/>
      <c r="N5" s="353"/>
    </row>
    <row r="6" spans="1:14" ht="48" thickBot="1">
      <c r="A6" s="357"/>
      <c r="B6" s="359"/>
      <c r="C6" s="73" t="s">
        <v>135</v>
      </c>
      <c r="D6" s="74" t="s">
        <v>309</v>
      </c>
      <c r="E6" s="74" t="s">
        <v>310</v>
      </c>
      <c r="F6" s="75" t="s">
        <v>136</v>
      </c>
      <c r="G6" s="76" t="s">
        <v>135</v>
      </c>
      <c r="H6" s="74" t="s">
        <v>309</v>
      </c>
      <c r="I6" s="74" t="s">
        <v>310</v>
      </c>
      <c r="J6" s="75" t="s">
        <v>136</v>
      </c>
      <c r="K6" s="76" t="s">
        <v>135</v>
      </c>
      <c r="L6" s="74" t="s">
        <v>309</v>
      </c>
      <c r="M6" s="74" t="s">
        <v>310</v>
      </c>
      <c r="N6" s="75" t="s">
        <v>136</v>
      </c>
    </row>
    <row r="7" spans="1:14" ht="18" customHeight="1">
      <c r="A7" s="219">
        <v>1</v>
      </c>
      <c r="B7" s="220" t="s">
        <v>137</v>
      </c>
      <c r="C7" s="183">
        <f>C10</f>
        <v>306978.99400000001</v>
      </c>
      <c r="D7" s="184">
        <f>D10</f>
        <v>83.353999999999999</v>
      </c>
      <c r="E7" s="229"/>
      <c r="F7" s="316">
        <v>617.02099999999996</v>
      </c>
      <c r="G7" s="183">
        <f>G10</f>
        <v>317939.13099999999</v>
      </c>
      <c r="H7" s="184">
        <f>H10</f>
        <v>86.546999999999997</v>
      </c>
      <c r="I7" s="245"/>
      <c r="J7" s="316">
        <f>F7</f>
        <v>617.02099999999996</v>
      </c>
      <c r="K7" s="183">
        <f>C7+G7</f>
        <v>624918.125</v>
      </c>
      <c r="L7" s="184">
        <f>L10</f>
        <v>84.950999999999993</v>
      </c>
      <c r="M7" s="245"/>
      <c r="N7" s="316">
        <f>F7</f>
        <v>617.02099999999996</v>
      </c>
    </row>
    <row r="8" spans="1:14" ht="17.25" customHeight="1">
      <c r="A8" s="97"/>
      <c r="B8" s="98" t="s">
        <v>138</v>
      </c>
      <c r="C8" s="99"/>
      <c r="D8" s="101"/>
      <c r="E8" s="100"/>
      <c r="F8" s="77"/>
      <c r="G8" s="99"/>
      <c r="H8" s="101"/>
      <c r="I8" s="246"/>
      <c r="J8" s="77"/>
      <c r="K8" s="99"/>
      <c r="L8" s="101"/>
      <c r="M8" s="246"/>
      <c r="N8" s="77"/>
    </row>
    <row r="9" spans="1:14" s="78" customFormat="1" ht="18" customHeight="1">
      <c r="A9" s="79" t="s">
        <v>59</v>
      </c>
      <c r="B9" s="80" t="s">
        <v>139</v>
      </c>
      <c r="C9" s="185"/>
      <c r="D9" s="187"/>
      <c r="E9" s="186"/>
      <c r="F9" s="77"/>
      <c r="G9" s="185"/>
      <c r="H9" s="187"/>
      <c r="I9" s="247"/>
      <c r="J9" s="77"/>
      <c r="K9" s="185"/>
      <c r="L9" s="187"/>
      <c r="M9" s="247"/>
      <c r="N9" s="77"/>
    </row>
    <row r="10" spans="1:14" s="78" customFormat="1" ht="18" customHeight="1">
      <c r="A10" s="79" t="s">
        <v>60</v>
      </c>
      <c r="B10" s="80" t="s">
        <v>140</v>
      </c>
      <c r="C10" s="185">
        <f>П1.4!D7</f>
        <v>306978.99400000001</v>
      </c>
      <c r="D10" s="187">
        <f>П1.5!D7</f>
        <v>83.353999999999999</v>
      </c>
      <c r="E10" s="186"/>
      <c r="F10" s="77"/>
      <c r="G10" s="185">
        <f>П1.4!I7</f>
        <v>317939.13099999999</v>
      </c>
      <c r="H10" s="187">
        <f>П1.5!I7</f>
        <v>86.546999999999997</v>
      </c>
      <c r="I10" s="247"/>
      <c r="J10" s="77"/>
      <c r="K10" s="183">
        <f>C10+G10</f>
        <v>624918.125</v>
      </c>
      <c r="L10" s="187">
        <f>П1.5!N7</f>
        <v>84.950999999999993</v>
      </c>
      <c r="M10" s="247"/>
      <c r="N10" s="77"/>
    </row>
    <row r="11" spans="1:14" s="84" customFormat="1" ht="18" customHeight="1">
      <c r="A11" s="79"/>
      <c r="B11" s="80" t="s">
        <v>141</v>
      </c>
      <c r="C11" s="81"/>
      <c r="D11" s="83"/>
      <c r="E11" s="82"/>
      <c r="F11" s="77"/>
      <c r="G11" s="81"/>
      <c r="H11" s="83"/>
      <c r="I11" s="248"/>
      <c r="J11" s="77"/>
      <c r="K11" s="81"/>
      <c r="L11" s="83"/>
      <c r="M11" s="248"/>
      <c r="N11" s="77"/>
    </row>
    <row r="12" spans="1:14" s="84" customFormat="1" ht="18" customHeight="1">
      <c r="A12" s="79" t="s">
        <v>118</v>
      </c>
      <c r="B12" s="80" t="s">
        <v>305</v>
      </c>
      <c r="C12" s="81">
        <f>П1.4!D17</f>
        <v>13090.066000000001</v>
      </c>
      <c r="D12" s="82">
        <f>П1.5!E17</f>
        <v>6.1749999999999998</v>
      </c>
      <c r="E12" s="240"/>
      <c r="F12" s="77"/>
      <c r="G12" s="81">
        <f>П1.4!I17</f>
        <v>14873.619000000001</v>
      </c>
      <c r="H12" s="82">
        <f>П1.5!J17</f>
        <v>6.1749999999999998</v>
      </c>
      <c r="I12" s="240"/>
      <c r="J12" s="77"/>
      <c r="K12" s="81">
        <f>C12+G12</f>
        <v>27963.685000000001</v>
      </c>
      <c r="L12" s="82">
        <f>П1.5!O17</f>
        <v>6.1749999999999998</v>
      </c>
      <c r="M12" s="240"/>
      <c r="N12" s="77"/>
    </row>
    <row r="13" spans="1:14" s="84" customFormat="1" ht="18" customHeight="1">
      <c r="A13" s="79" t="s">
        <v>119</v>
      </c>
      <c r="B13" s="80" t="s">
        <v>346</v>
      </c>
      <c r="C13" s="81">
        <f>П1.4!D18</f>
        <v>261521.26199999999</v>
      </c>
      <c r="D13" s="83">
        <f>D10-D12-D14-D15-D16</f>
        <v>69.125999999999991</v>
      </c>
      <c r="E13" s="82"/>
      <c r="F13" s="77"/>
      <c r="G13" s="81">
        <f>П1.4!I18</f>
        <v>276016.62099999998</v>
      </c>
      <c r="H13" s="83">
        <f>H10-H12-H14-H15-H16</f>
        <v>73.341000000000008</v>
      </c>
      <c r="I13" s="248"/>
      <c r="J13" s="77"/>
      <c r="K13" s="81">
        <f>C13+G13</f>
        <v>537537.88299999991</v>
      </c>
      <c r="L13" s="83">
        <f>П1.5!N18</f>
        <v>71.233500000000006</v>
      </c>
      <c r="M13" s="248"/>
      <c r="N13" s="77"/>
    </row>
    <row r="14" spans="1:14" s="84" customFormat="1" ht="18" customHeight="1">
      <c r="A14" s="79" t="s">
        <v>144</v>
      </c>
      <c r="B14" s="80" t="s">
        <v>306</v>
      </c>
      <c r="C14" s="81">
        <f>П1.4!D19</f>
        <v>31583.670999999998</v>
      </c>
      <c r="D14" s="83">
        <f>П1.5!E19</f>
        <v>7.81</v>
      </c>
      <c r="E14" s="82"/>
      <c r="F14" s="77"/>
      <c r="G14" s="81">
        <f>П1.4!I19</f>
        <v>26315.999</v>
      </c>
      <c r="H14" s="83">
        <f>П1.5!J19</f>
        <v>6.8109999999999999</v>
      </c>
      <c r="I14" s="248"/>
      <c r="J14" s="77"/>
      <c r="K14" s="81">
        <f>C14+G14</f>
        <v>57899.67</v>
      </c>
      <c r="L14" s="83">
        <f>П1.5!N19</f>
        <v>7.309499999999999</v>
      </c>
      <c r="M14" s="248"/>
      <c r="N14" s="77"/>
    </row>
    <row r="15" spans="1:14" s="84" customFormat="1" ht="18" customHeight="1">
      <c r="A15" s="79" t="s">
        <v>285</v>
      </c>
      <c r="B15" s="80" t="s">
        <v>311</v>
      </c>
      <c r="C15" s="81">
        <f>П1.4!D21</f>
        <v>487.923</v>
      </c>
      <c r="D15" s="83">
        <f>П1.5!G21</f>
        <v>0.12</v>
      </c>
      <c r="E15" s="82"/>
      <c r="F15" s="77"/>
      <c r="G15" s="81">
        <f>П1.4!I21</f>
        <v>411.66899999999998</v>
      </c>
      <c r="H15" s="83">
        <f>П1.5!L21</f>
        <v>0.106</v>
      </c>
      <c r="I15" s="248"/>
      <c r="J15" s="77"/>
      <c r="K15" s="81">
        <f>C15+G15</f>
        <v>899.59199999999998</v>
      </c>
      <c r="L15" s="83">
        <f>П1.5!N21</f>
        <v>0.11299999999999999</v>
      </c>
      <c r="M15" s="248"/>
      <c r="N15" s="77"/>
    </row>
    <row r="16" spans="1:14" s="84" customFormat="1" ht="18" customHeight="1">
      <c r="A16" s="79" t="s">
        <v>286</v>
      </c>
      <c r="B16" s="80" t="s">
        <v>287</v>
      </c>
      <c r="C16" s="81">
        <f>П1.4!D20</f>
        <v>296.072</v>
      </c>
      <c r="D16" s="83">
        <f>П1.5!F20</f>
        <v>0.123</v>
      </c>
      <c r="E16" s="82"/>
      <c r="F16" s="77"/>
      <c r="G16" s="81">
        <f>П1.4!I20</f>
        <v>321.22300000000001</v>
      </c>
      <c r="H16" s="83">
        <f>П1.5!K20</f>
        <v>0.114</v>
      </c>
      <c r="I16" s="248"/>
      <c r="J16" s="77"/>
      <c r="K16" s="81">
        <f>C16+G16</f>
        <v>617.29500000000007</v>
      </c>
      <c r="L16" s="83">
        <f>П1.5!N20</f>
        <v>0.11849999999999999</v>
      </c>
      <c r="M16" s="248"/>
      <c r="N16" s="77"/>
    </row>
    <row r="17" spans="1:14" s="84" customFormat="1" ht="18" customHeight="1">
      <c r="A17" s="85"/>
      <c r="B17" s="86" t="s">
        <v>145</v>
      </c>
      <c r="C17" s="87"/>
      <c r="D17" s="90"/>
      <c r="E17" s="88"/>
      <c r="F17" s="89"/>
      <c r="G17" s="87"/>
      <c r="H17" s="90"/>
      <c r="I17" s="249"/>
      <c r="J17" s="89"/>
      <c r="K17" s="87"/>
      <c r="L17" s="90"/>
      <c r="M17" s="249"/>
      <c r="N17" s="89"/>
    </row>
    <row r="18" spans="1:14" s="22" customFormat="1" ht="18" customHeight="1">
      <c r="A18" s="103" t="s">
        <v>38</v>
      </c>
      <c r="B18" s="104" t="s">
        <v>146</v>
      </c>
      <c r="C18" s="185">
        <f>П1.4!D22</f>
        <v>6565.4380000000001</v>
      </c>
      <c r="D18" s="187">
        <f>П1.5!D22</f>
        <v>1.782</v>
      </c>
      <c r="E18" s="186"/>
      <c r="F18" s="91"/>
      <c r="G18" s="185">
        <f>П1.4!I22</f>
        <v>6254.7639999999992</v>
      </c>
      <c r="H18" s="187">
        <f>П1.5!I22</f>
        <v>1.7019999999999997</v>
      </c>
      <c r="I18" s="247"/>
      <c r="J18" s="91"/>
      <c r="K18" s="183">
        <f>C18+G18</f>
        <v>12820.201999999999</v>
      </c>
      <c r="L18" s="187">
        <f>П1.5!N22</f>
        <v>1.742</v>
      </c>
      <c r="M18" s="247"/>
      <c r="N18" s="91"/>
    </row>
    <row r="19" spans="1:14" s="22" customFormat="1" ht="18" customHeight="1">
      <c r="A19" s="103" t="s">
        <v>128</v>
      </c>
      <c r="B19" s="104" t="s">
        <v>147</v>
      </c>
      <c r="C19" s="185">
        <f>C10-C18</f>
        <v>300413.55599999998</v>
      </c>
      <c r="D19" s="187">
        <f>D10-D18</f>
        <v>81.572000000000003</v>
      </c>
      <c r="E19" s="186"/>
      <c r="F19" s="91"/>
      <c r="G19" s="185">
        <f>G10-G18</f>
        <v>311684.36699999997</v>
      </c>
      <c r="H19" s="187">
        <f>H10-H18</f>
        <v>84.844999999999999</v>
      </c>
      <c r="I19" s="247"/>
      <c r="J19" s="91"/>
      <c r="K19" s="183">
        <f>C19+G19</f>
        <v>612097.92299999995</v>
      </c>
      <c r="L19" s="187">
        <f>L10-L18</f>
        <v>83.208999999999989</v>
      </c>
      <c r="M19" s="247"/>
      <c r="N19" s="91"/>
    </row>
    <row r="20" spans="1:14" s="22" customFormat="1" ht="18" customHeight="1">
      <c r="A20" s="97"/>
      <c r="B20" s="98" t="s">
        <v>148</v>
      </c>
      <c r="C20" s="99"/>
      <c r="D20" s="101"/>
      <c r="E20" s="100"/>
      <c r="F20" s="77"/>
      <c r="G20" s="99"/>
      <c r="H20" s="101"/>
      <c r="I20" s="246"/>
      <c r="J20" s="77"/>
      <c r="K20" s="99"/>
      <c r="L20" s="101"/>
      <c r="M20" s="246"/>
      <c r="N20" s="77"/>
    </row>
    <row r="21" spans="1:14" s="93" customFormat="1" ht="18" customHeight="1">
      <c r="A21" s="103" t="s">
        <v>149</v>
      </c>
      <c r="B21" s="104" t="s">
        <v>150</v>
      </c>
      <c r="C21" s="185">
        <f>П1.4!D32</f>
        <v>266322.96100000001</v>
      </c>
      <c r="D21" s="187">
        <f>П1.5!D32</f>
        <v>69.335999999999999</v>
      </c>
      <c r="E21" s="186"/>
      <c r="F21" s="77"/>
      <c r="G21" s="185">
        <f>П1.4!I32</f>
        <v>275802.53400000004</v>
      </c>
      <c r="H21" s="187">
        <f>П1.5!I32</f>
        <v>72.166999999999987</v>
      </c>
      <c r="I21" s="247"/>
      <c r="J21" s="77"/>
      <c r="K21" s="183">
        <f>C21+G21</f>
        <v>542125.49500000011</v>
      </c>
      <c r="L21" s="187">
        <f>П1.5!N32</f>
        <v>70.751000000000005</v>
      </c>
      <c r="M21" s="247"/>
      <c r="N21" s="77"/>
    </row>
    <row r="22" spans="1:14" s="93" customFormat="1" ht="18" customHeight="1">
      <c r="A22" s="103" t="s">
        <v>151</v>
      </c>
      <c r="B22" s="104" t="s">
        <v>152</v>
      </c>
      <c r="C22" s="185">
        <f>П1.4!D28+П1.4!D34</f>
        <v>34090.594999999994</v>
      </c>
      <c r="D22" s="187">
        <f>П1.5!D35+П1.5!D28</f>
        <v>12.236000000000001</v>
      </c>
      <c r="E22" s="186"/>
      <c r="F22" s="77"/>
      <c r="G22" s="185">
        <f>П1.4!I28+П1.4!I34</f>
        <v>35881.832999999999</v>
      </c>
      <c r="H22" s="187">
        <f>П1.5!I35+П1.5!I28</f>
        <v>12.677999999999999</v>
      </c>
      <c r="I22" s="247"/>
      <c r="J22" s="77"/>
      <c r="K22" s="183">
        <f>C22+G22</f>
        <v>69972.427999999985</v>
      </c>
      <c r="L22" s="187">
        <f>П1.5!N28+П1.5!N35</f>
        <v>12.458</v>
      </c>
      <c r="M22" s="247"/>
      <c r="N22" s="77"/>
    </row>
    <row r="23" spans="1:14" s="84" customFormat="1" ht="18" customHeight="1">
      <c r="A23" s="85"/>
      <c r="B23" s="86" t="s">
        <v>153</v>
      </c>
      <c r="C23" s="87"/>
      <c r="D23" s="90"/>
      <c r="E23" s="88"/>
      <c r="F23" s="89"/>
      <c r="G23" s="87"/>
      <c r="H23" s="90"/>
      <c r="I23" s="249"/>
      <c r="J23" s="89"/>
      <c r="K23" s="87"/>
      <c r="L23" s="90"/>
      <c r="M23" s="249"/>
      <c r="N23" s="89"/>
    </row>
    <row r="24" spans="1:14" s="49" customFormat="1" ht="18" customHeight="1">
      <c r="A24" s="79" t="s">
        <v>154</v>
      </c>
      <c r="B24" s="80" t="str">
        <f>B12</f>
        <v>ПАО "ФСК ЕЭС"</v>
      </c>
      <c r="C24" s="81">
        <v>0</v>
      </c>
      <c r="D24" s="83">
        <v>0</v>
      </c>
      <c r="E24" s="82"/>
      <c r="F24" s="77"/>
      <c r="G24" s="81">
        <v>0</v>
      </c>
      <c r="H24" s="83">
        <v>0</v>
      </c>
      <c r="I24" s="248"/>
      <c r="J24" s="77"/>
      <c r="K24" s="81">
        <f t="shared" ref="K24:K37" si="0">C24+G24</f>
        <v>0</v>
      </c>
      <c r="L24" s="83">
        <v>0</v>
      </c>
      <c r="M24" s="248"/>
      <c r="N24" s="77"/>
    </row>
    <row r="25" spans="1:14" s="84" customFormat="1" ht="18" customHeight="1">
      <c r="A25" s="79" t="s">
        <v>155</v>
      </c>
      <c r="B25" s="94" t="s">
        <v>156</v>
      </c>
      <c r="C25" s="81">
        <f>C24-C12</f>
        <v>-13090.066000000001</v>
      </c>
      <c r="D25" s="83">
        <f>D24-D12</f>
        <v>-6.1749999999999998</v>
      </c>
      <c r="E25" s="82"/>
      <c r="F25" s="96"/>
      <c r="G25" s="81">
        <f>G24-G12</f>
        <v>-14873.619000000001</v>
      </c>
      <c r="H25" s="83">
        <f>H24-H12</f>
        <v>-6.1749999999999998</v>
      </c>
      <c r="I25" s="248"/>
      <c r="J25" s="96"/>
      <c r="K25" s="81">
        <f t="shared" si="0"/>
        <v>-27963.685000000001</v>
      </c>
      <c r="L25" s="83">
        <f>L24-L12</f>
        <v>-6.1749999999999998</v>
      </c>
      <c r="M25" s="248"/>
      <c r="N25" s="96"/>
    </row>
    <row r="26" spans="1:14" s="84" customFormat="1" ht="17.25" customHeight="1">
      <c r="A26" s="79" t="s">
        <v>157</v>
      </c>
      <c r="B26" s="80" t="str">
        <f>B13</f>
        <v>ПАО "Россети Сибирь"-"Кузбассэнерго-РЭС"</v>
      </c>
      <c r="C26" s="81">
        <f>П1.6!F38</f>
        <v>72.715999999999994</v>
      </c>
      <c r="D26" s="83">
        <f>П1.6!K38</f>
        <v>2.1000000000000001E-2</v>
      </c>
      <c r="E26" s="82"/>
      <c r="F26" s="96"/>
      <c r="G26" s="81">
        <f>П1.6!F81</f>
        <v>204.85599999999999</v>
      </c>
      <c r="H26" s="83">
        <f>П1.6!K81</f>
        <v>5.8000000000000003E-2</v>
      </c>
      <c r="I26" s="248"/>
      <c r="J26" s="96"/>
      <c r="K26" s="81">
        <f t="shared" si="0"/>
        <v>277.572</v>
      </c>
      <c r="L26" s="83">
        <f>П1.6!K124</f>
        <v>3.95E-2</v>
      </c>
      <c r="M26" s="248"/>
      <c r="N26" s="96"/>
    </row>
    <row r="27" spans="1:14" s="84" customFormat="1" ht="20.25" customHeight="1">
      <c r="A27" s="79" t="s">
        <v>158</v>
      </c>
      <c r="B27" s="94" t="s">
        <v>159</v>
      </c>
      <c r="C27" s="81">
        <f>C26-C13</f>
        <v>-261448.546</v>
      </c>
      <c r="D27" s="83">
        <f>D26-D13</f>
        <v>-69.10499999999999</v>
      </c>
      <c r="E27" s="82"/>
      <c r="F27" s="96"/>
      <c r="G27" s="81">
        <f>G26-G13</f>
        <v>-275811.76499999996</v>
      </c>
      <c r="H27" s="83">
        <f>H26-H13</f>
        <v>-73.283000000000001</v>
      </c>
      <c r="I27" s="248"/>
      <c r="J27" s="96"/>
      <c r="K27" s="81">
        <f t="shared" si="0"/>
        <v>-537260.31099999999</v>
      </c>
      <c r="L27" s="83">
        <f>L26-L13</f>
        <v>-71.194000000000003</v>
      </c>
      <c r="M27" s="248"/>
      <c r="N27" s="96"/>
    </row>
    <row r="28" spans="1:14" s="84" customFormat="1" ht="20.25" customHeight="1">
      <c r="A28" s="79" t="s">
        <v>160</v>
      </c>
      <c r="B28" s="94" t="str">
        <f>B14</f>
        <v>АО "Электросеть"</v>
      </c>
      <c r="C28" s="81">
        <f>П1.6!D40</f>
        <v>1364.232</v>
      </c>
      <c r="D28" s="83">
        <f>П1.6!I40</f>
        <v>0.433</v>
      </c>
      <c r="E28" s="82"/>
      <c r="F28" s="96"/>
      <c r="G28" s="81">
        <f>П1.6!D83</f>
        <v>2641.3409999999999</v>
      </c>
      <c r="H28" s="83">
        <f>П1.6!I83</f>
        <v>0.82799999999999996</v>
      </c>
      <c r="I28" s="248"/>
      <c r="J28" s="96"/>
      <c r="K28" s="81">
        <f t="shared" si="0"/>
        <v>4005.5729999999999</v>
      </c>
      <c r="L28" s="83">
        <f>П1.6!H126</f>
        <v>0.62949999999999995</v>
      </c>
      <c r="M28" s="248"/>
      <c r="N28" s="96"/>
    </row>
    <row r="29" spans="1:14" s="84" customFormat="1" ht="20.25" customHeight="1">
      <c r="A29" s="79" t="s">
        <v>288</v>
      </c>
      <c r="B29" s="94" t="s">
        <v>295</v>
      </c>
      <c r="C29" s="81">
        <f>C28-C14</f>
        <v>-30219.438999999998</v>
      </c>
      <c r="D29" s="83">
        <f>D28-D14</f>
        <v>-7.3769999999999998</v>
      </c>
      <c r="E29" s="82"/>
      <c r="F29" s="96"/>
      <c r="G29" s="81">
        <f>G28-G14</f>
        <v>-23674.657999999999</v>
      </c>
      <c r="H29" s="83">
        <f>H28-H14</f>
        <v>-5.9829999999999997</v>
      </c>
      <c r="I29" s="248"/>
      <c r="J29" s="96"/>
      <c r="K29" s="81">
        <f t="shared" si="0"/>
        <v>-53894.096999999994</v>
      </c>
      <c r="L29" s="83">
        <f>L28-L14</f>
        <v>-6.6799999999999988</v>
      </c>
      <c r="M29" s="248"/>
      <c r="N29" s="96"/>
    </row>
    <row r="30" spans="1:14" s="84" customFormat="1" ht="20.25" customHeight="1">
      <c r="A30" s="79" t="s">
        <v>289</v>
      </c>
      <c r="B30" s="94" t="str">
        <f>B15</f>
        <v>АО "ЭнергоПаритет"</v>
      </c>
      <c r="C30" s="81">
        <v>0</v>
      </c>
      <c r="D30" s="83">
        <v>0</v>
      </c>
      <c r="E30" s="82"/>
      <c r="F30" s="96"/>
      <c r="G30" s="81">
        <v>0</v>
      </c>
      <c r="H30" s="83">
        <v>0</v>
      </c>
      <c r="I30" s="248"/>
      <c r="J30" s="96"/>
      <c r="K30" s="81">
        <f t="shared" si="0"/>
        <v>0</v>
      </c>
      <c r="L30" s="83">
        <v>0</v>
      </c>
      <c r="M30" s="248"/>
      <c r="N30" s="96"/>
    </row>
    <row r="31" spans="1:14" s="84" customFormat="1" ht="20.25" customHeight="1">
      <c r="A31" s="79" t="s">
        <v>293</v>
      </c>
      <c r="B31" s="94" t="s">
        <v>296</v>
      </c>
      <c r="C31" s="81">
        <f>C30-C15</f>
        <v>-487.923</v>
      </c>
      <c r="D31" s="83">
        <f>D30-D15</f>
        <v>-0.12</v>
      </c>
      <c r="E31" s="82"/>
      <c r="F31" s="96"/>
      <c r="G31" s="81">
        <f>G30-G15</f>
        <v>-411.66899999999998</v>
      </c>
      <c r="H31" s="83">
        <f>H30-H15</f>
        <v>-0.106</v>
      </c>
      <c r="I31" s="248"/>
      <c r="J31" s="96"/>
      <c r="K31" s="81">
        <f t="shared" si="0"/>
        <v>-899.59199999999998</v>
      </c>
      <c r="L31" s="83">
        <f>L30-L15</f>
        <v>-0.11299999999999999</v>
      </c>
      <c r="M31" s="248"/>
      <c r="N31" s="96"/>
    </row>
    <row r="32" spans="1:14" s="84" customFormat="1" ht="20.25" customHeight="1">
      <c r="A32" s="79" t="s">
        <v>290</v>
      </c>
      <c r="B32" s="94" t="str">
        <f>B16</f>
        <v>ОАО "РЖД"</v>
      </c>
      <c r="C32" s="81">
        <v>0</v>
      </c>
      <c r="D32" s="83">
        <v>0</v>
      </c>
      <c r="E32" s="82"/>
      <c r="F32" s="96"/>
      <c r="G32" s="81">
        <v>0</v>
      </c>
      <c r="H32" s="83">
        <v>0</v>
      </c>
      <c r="I32" s="248"/>
      <c r="J32" s="96"/>
      <c r="K32" s="81">
        <f t="shared" si="0"/>
        <v>0</v>
      </c>
      <c r="L32" s="83">
        <v>0</v>
      </c>
      <c r="M32" s="248"/>
      <c r="N32" s="96"/>
    </row>
    <row r="33" spans="1:14" s="84" customFormat="1" ht="20.25" customHeight="1">
      <c r="A33" s="79" t="s">
        <v>294</v>
      </c>
      <c r="B33" s="94" t="s">
        <v>296</v>
      </c>
      <c r="C33" s="81">
        <f>C32-C16</f>
        <v>-296.072</v>
      </c>
      <c r="D33" s="83">
        <f>D32-D16</f>
        <v>-0.123</v>
      </c>
      <c r="E33" s="82"/>
      <c r="F33" s="96"/>
      <c r="G33" s="81">
        <f>G32-G16</f>
        <v>-321.22300000000001</v>
      </c>
      <c r="H33" s="83">
        <f>H32-H16</f>
        <v>-0.114</v>
      </c>
      <c r="I33" s="248"/>
      <c r="J33" s="96"/>
      <c r="K33" s="81">
        <f t="shared" si="0"/>
        <v>-617.29500000000007</v>
      </c>
      <c r="L33" s="83">
        <f>L32-L16</f>
        <v>-0.11849999999999999</v>
      </c>
      <c r="M33" s="248"/>
      <c r="N33" s="96"/>
    </row>
    <row r="34" spans="1:14" s="84" customFormat="1" ht="20.25" customHeight="1">
      <c r="A34" s="79" t="s">
        <v>291</v>
      </c>
      <c r="B34" s="94" t="str">
        <f>П1.6!B125</f>
        <v>ООО "КЭнК"</v>
      </c>
      <c r="C34" s="81">
        <f>П1.6!C39</f>
        <v>29380.892</v>
      </c>
      <c r="D34" s="83">
        <f>П1.6!H39</f>
        <v>10.592000000000001</v>
      </c>
      <c r="E34" s="82"/>
      <c r="F34" s="96"/>
      <c r="G34" s="81">
        <f>П1.6!C82</f>
        <v>29680.924999999999</v>
      </c>
      <c r="H34" s="83">
        <f>П1.6!H82</f>
        <v>10.582000000000001</v>
      </c>
      <c r="I34" s="248"/>
      <c r="J34" s="96"/>
      <c r="K34" s="81">
        <f t="shared" si="0"/>
        <v>59061.816999999995</v>
      </c>
      <c r="L34" s="83">
        <f>П1.6!H125</f>
        <v>10.587000000000002</v>
      </c>
      <c r="M34" s="248"/>
      <c r="N34" s="96"/>
    </row>
    <row r="35" spans="1:14" s="84" customFormat="1" ht="20.25" customHeight="1">
      <c r="A35" s="79" t="s">
        <v>292</v>
      </c>
      <c r="B35" s="94" t="str">
        <f>П1.6!B127</f>
        <v>ООО "СКЭК"</v>
      </c>
      <c r="C35" s="81">
        <f>П1.6!C41</f>
        <v>2944.0149999999999</v>
      </c>
      <c r="D35" s="83">
        <f>П1.6!H41</f>
        <v>1.0609999999999999</v>
      </c>
      <c r="E35" s="82"/>
      <c r="F35" s="96"/>
      <c r="G35" s="81">
        <f>П1.6!C84</f>
        <v>3024.7489999999998</v>
      </c>
      <c r="H35" s="83">
        <f>П1.6!H84</f>
        <v>1.0780000000000001</v>
      </c>
      <c r="I35" s="248"/>
      <c r="J35" s="96"/>
      <c r="K35" s="81">
        <f t="shared" si="0"/>
        <v>5968.7639999999992</v>
      </c>
      <c r="L35" s="83">
        <f>П1.6!H127</f>
        <v>1.0694999999999999</v>
      </c>
      <c r="M35" s="248"/>
      <c r="N35" s="96"/>
    </row>
    <row r="36" spans="1:14" s="84" customFormat="1" ht="20.25" hidden="1" customHeight="1">
      <c r="A36" s="79" t="s">
        <v>297</v>
      </c>
      <c r="B36" s="94" t="e">
        <f>П1.6!#REF!</f>
        <v>#REF!</v>
      </c>
      <c r="C36" s="81">
        <f>П1.6!C42</f>
        <v>0</v>
      </c>
      <c r="D36" s="83" t="e">
        <f>П1.6!#REF!</f>
        <v>#REF!</v>
      </c>
      <c r="E36" s="82"/>
      <c r="F36" s="96"/>
      <c r="G36" s="81" t="e">
        <f>П1.6!#REF!</f>
        <v>#REF!</v>
      </c>
      <c r="H36" s="83" t="e">
        <f>П1.6!#REF!</f>
        <v>#REF!</v>
      </c>
      <c r="I36" s="248"/>
      <c r="J36" s="96"/>
      <c r="K36" s="81" t="e">
        <f t="shared" si="0"/>
        <v>#REF!</v>
      </c>
      <c r="L36" s="83">
        <f>П1.6!H128</f>
        <v>0</v>
      </c>
      <c r="M36" s="248"/>
      <c r="N36" s="96"/>
    </row>
    <row r="37" spans="1:14" s="84" customFormat="1" ht="20.25" customHeight="1">
      <c r="A37" s="79" t="s">
        <v>303</v>
      </c>
      <c r="B37" s="94" t="s">
        <v>277</v>
      </c>
      <c r="C37" s="81">
        <f>П1.4!D28</f>
        <v>328.74</v>
      </c>
      <c r="D37" s="83">
        <f>П1.5!D28</f>
        <v>0.129</v>
      </c>
      <c r="E37" s="82"/>
      <c r="F37" s="96"/>
      <c r="G37" s="81">
        <f>П1.4!I28</f>
        <v>329.96199999999999</v>
      </c>
      <c r="H37" s="83">
        <f>П1.5!I28</f>
        <v>0.13200000000000001</v>
      </c>
      <c r="I37" s="248"/>
      <c r="J37" s="96"/>
      <c r="K37" s="81">
        <f t="shared" si="0"/>
        <v>658.702</v>
      </c>
      <c r="L37" s="83">
        <f>П1.5!N28</f>
        <v>0.13100000000000001</v>
      </c>
      <c r="M37" s="248"/>
      <c r="N37" s="96"/>
    </row>
    <row r="38" spans="1:14" s="84" customFormat="1" ht="20.25" hidden="1" customHeight="1">
      <c r="A38" s="79"/>
      <c r="B38" s="94"/>
      <c r="C38" s="81"/>
      <c r="D38" s="83"/>
      <c r="E38" s="82"/>
      <c r="F38" s="96"/>
      <c r="G38" s="81"/>
      <c r="H38" s="83"/>
      <c r="I38" s="248"/>
      <c r="J38" s="96"/>
      <c r="K38" s="81"/>
      <c r="L38" s="83"/>
      <c r="M38" s="248"/>
      <c r="N38" s="96"/>
    </row>
    <row r="39" spans="1:14" s="84" customFormat="1" ht="20.25" hidden="1" customHeight="1">
      <c r="A39" s="79"/>
      <c r="B39" s="94"/>
      <c r="C39" s="81"/>
      <c r="D39" s="83"/>
      <c r="E39" s="82"/>
      <c r="F39" s="96"/>
      <c r="G39" s="81"/>
      <c r="H39" s="83"/>
      <c r="I39" s="248"/>
      <c r="J39" s="96"/>
      <c r="K39" s="81"/>
      <c r="L39" s="83"/>
      <c r="M39" s="248"/>
      <c r="N39" s="96"/>
    </row>
    <row r="40" spans="1:14" s="84" customFormat="1" ht="20.25" hidden="1" customHeight="1">
      <c r="A40" s="79"/>
      <c r="B40" s="94"/>
      <c r="C40" s="81"/>
      <c r="D40" s="83"/>
      <c r="E40" s="82"/>
      <c r="F40" s="96"/>
      <c r="G40" s="81"/>
      <c r="H40" s="83"/>
      <c r="I40" s="248"/>
      <c r="J40" s="96"/>
      <c r="K40" s="81"/>
      <c r="L40" s="83"/>
      <c r="M40" s="248"/>
      <c r="N40" s="96"/>
    </row>
    <row r="41" spans="1:14" s="84" customFormat="1" ht="20.25" hidden="1" customHeight="1">
      <c r="A41" s="79"/>
      <c r="B41" s="94"/>
      <c r="C41" s="81"/>
      <c r="D41" s="83"/>
      <c r="E41" s="82"/>
      <c r="F41" s="96"/>
      <c r="G41" s="81"/>
      <c r="H41" s="83"/>
      <c r="I41" s="248"/>
      <c r="J41" s="96"/>
      <c r="K41" s="81"/>
      <c r="L41" s="83"/>
      <c r="M41" s="248"/>
      <c r="N41" s="96"/>
    </row>
    <row r="42" spans="1:14" s="49" customFormat="1" ht="15.75" hidden="1" customHeight="1">
      <c r="A42" s="79" t="s">
        <v>160</v>
      </c>
      <c r="B42" s="80" t="s">
        <v>145</v>
      </c>
      <c r="C42" s="81"/>
      <c r="D42" s="83"/>
      <c r="E42" s="82"/>
      <c r="F42" s="96"/>
      <c r="G42" s="81"/>
      <c r="H42" s="83"/>
      <c r="I42" s="248"/>
      <c r="J42" s="96"/>
      <c r="K42" s="81"/>
      <c r="L42" s="83"/>
      <c r="M42" s="248"/>
      <c r="N42" s="96"/>
    </row>
    <row r="43" spans="1:14" s="49" customFormat="1" ht="18" customHeight="1">
      <c r="A43" s="97" t="s">
        <v>130</v>
      </c>
      <c r="B43" s="98" t="s">
        <v>161</v>
      </c>
      <c r="C43" s="99"/>
      <c r="D43" s="101"/>
      <c r="E43" s="100"/>
      <c r="F43" s="77"/>
      <c r="G43" s="99"/>
      <c r="H43" s="101"/>
      <c r="I43" s="246"/>
      <c r="J43" s="77"/>
      <c r="K43" s="99"/>
      <c r="L43" s="101"/>
      <c r="M43" s="246"/>
      <c r="N43" s="77"/>
    </row>
    <row r="44" spans="1:14" s="49" customFormat="1" ht="18" customHeight="1">
      <c r="A44" s="97"/>
      <c r="B44" s="98" t="s">
        <v>141</v>
      </c>
      <c r="C44" s="99"/>
      <c r="D44" s="101"/>
      <c r="E44" s="100"/>
      <c r="F44" s="77"/>
      <c r="G44" s="99"/>
      <c r="H44" s="101"/>
      <c r="I44" s="246"/>
      <c r="J44" s="77"/>
      <c r="K44" s="99"/>
      <c r="L44" s="101"/>
      <c r="M44" s="246"/>
      <c r="N44" s="91"/>
    </row>
    <row r="45" spans="1:14" s="49" customFormat="1" ht="18" customHeight="1">
      <c r="A45" s="97" t="s">
        <v>162</v>
      </c>
      <c r="B45" s="98" t="s">
        <v>139</v>
      </c>
      <c r="C45" s="99"/>
      <c r="D45" s="101"/>
      <c r="E45" s="100"/>
      <c r="F45" s="77"/>
      <c r="G45" s="99"/>
      <c r="H45" s="101"/>
      <c r="I45" s="246"/>
      <c r="J45" s="77"/>
      <c r="K45" s="99"/>
      <c r="L45" s="101"/>
      <c r="M45" s="246"/>
      <c r="N45" s="77"/>
    </row>
    <row r="46" spans="1:14" s="49" customFormat="1" ht="18" customHeight="1">
      <c r="A46" s="97" t="s">
        <v>163</v>
      </c>
      <c r="B46" s="98" t="s">
        <v>140</v>
      </c>
      <c r="C46" s="99"/>
      <c r="D46" s="101"/>
      <c r="E46" s="100"/>
      <c r="F46" s="77"/>
      <c r="G46" s="99"/>
      <c r="H46" s="101"/>
      <c r="I46" s="246"/>
      <c r="J46" s="77"/>
      <c r="K46" s="99"/>
      <c r="L46" s="101"/>
      <c r="M46" s="246"/>
      <c r="N46" s="77"/>
    </row>
    <row r="47" spans="1:14" s="49" customFormat="1" ht="18" customHeight="1">
      <c r="A47" s="97"/>
      <c r="B47" s="98" t="s">
        <v>141</v>
      </c>
      <c r="C47" s="99"/>
      <c r="D47" s="101"/>
      <c r="E47" s="100"/>
      <c r="F47" s="77"/>
      <c r="G47" s="99"/>
      <c r="H47" s="101"/>
      <c r="I47" s="246"/>
      <c r="J47" s="77"/>
      <c r="K47" s="99"/>
      <c r="L47" s="101"/>
      <c r="M47" s="246"/>
      <c r="N47" s="77"/>
    </row>
    <row r="48" spans="1:14" s="49" customFormat="1" ht="18" customHeight="1">
      <c r="A48" s="97" t="s">
        <v>164</v>
      </c>
      <c r="B48" s="98" t="s">
        <v>142</v>
      </c>
      <c r="C48" s="99"/>
      <c r="D48" s="101"/>
      <c r="E48" s="100"/>
      <c r="F48" s="77"/>
      <c r="G48" s="99"/>
      <c r="H48" s="101"/>
      <c r="I48" s="246"/>
      <c r="J48" s="77"/>
      <c r="K48" s="99"/>
      <c r="L48" s="101"/>
      <c r="M48" s="246"/>
      <c r="N48" s="77"/>
    </row>
    <row r="49" spans="1:14" s="49" customFormat="1" ht="18" customHeight="1">
      <c r="A49" s="97" t="s">
        <v>165</v>
      </c>
      <c r="B49" s="98" t="s">
        <v>143</v>
      </c>
      <c r="C49" s="99"/>
      <c r="D49" s="101"/>
      <c r="E49" s="100"/>
      <c r="F49" s="77"/>
      <c r="G49" s="99"/>
      <c r="H49" s="101"/>
      <c r="I49" s="246"/>
      <c r="J49" s="77"/>
      <c r="K49" s="99"/>
      <c r="L49" s="101"/>
      <c r="M49" s="246"/>
      <c r="N49" s="77"/>
    </row>
    <row r="50" spans="1:14" s="49" customFormat="1" ht="18" customHeight="1">
      <c r="A50" s="97"/>
      <c r="B50" s="98" t="s">
        <v>166</v>
      </c>
      <c r="C50" s="99"/>
      <c r="D50" s="101"/>
      <c r="E50" s="100"/>
      <c r="F50" s="77"/>
      <c r="G50" s="99"/>
      <c r="H50" s="101"/>
      <c r="I50" s="246"/>
      <c r="J50" s="77"/>
      <c r="K50" s="99"/>
      <c r="L50" s="101"/>
      <c r="M50" s="246"/>
      <c r="N50" s="77"/>
    </row>
    <row r="51" spans="1:14" s="49" customFormat="1" ht="18" customHeight="1">
      <c r="A51" s="97" t="s">
        <v>167</v>
      </c>
      <c r="B51" s="98" t="s">
        <v>168</v>
      </c>
      <c r="C51" s="99"/>
      <c r="D51" s="101"/>
      <c r="E51" s="100"/>
      <c r="F51" s="77"/>
      <c r="G51" s="99"/>
      <c r="H51" s="101"/>
      <c r="I51" s="246"/>
      <c r="J51" s="77"/>
      <c r="K51" s="99"/>
      <c r="L51" s="101"/>
      <c r="M51" s="246"/>
      <c r="N51" s="77"/>
    </row>
    <row r="52" spans="1:14" s="49" customFormat="1" ht="18" customHeight="1">
      <c r="A52" s="97" t="s">
        <v>169</v>
      </c>
      <c r="B52" s="98" t="s">
        <v>170</v>
      </c>
      <c r="C52" s="99"/>
      <c r="D52" s="101"/>
      <c r="E52" s="100"/>
      <c r="F52" s="77"/>
      <c r="G52" s="99"/>
      <c r="H52" s="101"/>
      <c r="I52" s="246"/>
      <c r="J52" s="77"/>
      <c r="K52" s="99"/>
      <c r="L52" s="101"/>
      <c r="M52" s="246"/>
      <c r="N52" s="77"/>
    </row>
    <row r="53" spans="1:14" s="49" customFormat="1" ht="18" customHeight="1">
      <c r="A53" s="97"/>
      <c r="B53" s="98" t="s">
        <v>148</v>
      </c>
      <c r="C53" s="99"/>
      <c r="D53" s="101"/>
      <c r="E53" s="100"/>
      <c r="F53" s="77"/>
      <c r="G53" s="99"/>
      <c r="H53" s="101"/>
      <c r="I53" s="246"/>
      <c r="J53" s="77"/>
      <c r="K53" s="99"/>
      <c r="L53" s="101"/>
      <c r="M53" s="246"/>
      <c r="N53" s="77"/>
    </row>
    <row r="54" spans="1:14" s="49" customFormat="1" ht="18" customHeight="1">
      <c r="A54" s="97" t="s">
        <v>171</v>
      </c>
      <c r="B54" s="98" t="s">
        <v>150</v>
      </c>
      <c r="C54" s="99"/>
      <c r="D54" s="101"/>
      <c r="E54" s="100"/>
      <c r="F54" s="77"/>
      <c r="G54" s="99"/>
      <c r="H54" s="101"/>
      <c r="I54" s="246"/>
      <c r="J54" s="77"/>
      <c r="K54" s="99"/>
      <c r="L54" s="101"/>
      <c r="M54" s="246"/>
      <c r="N54" s="77"/>
    </row>
    <row r="55" spans="1:14" s="49" customFormat="1" ht="18" customHeight="1">
      <c r="A55" s="97" t="s">
        <v>172</v>
      </c>
      <c r="B55" s="98" t="s">
        <v>152</v>
      </c>
      <c r="C55" s="99"/>
      <c r="D55" s="101"/>
      <c r="E55" s="100"/>
      <c r="F55" s="77"/>
      <c r="G55" s="99"/>
      <c r="H55" s="101"/>
      <c r="I55" s="246"/>
      <c r="J55" s="77"/>
      <c r="K55" s="99"/>
      <c r="L55" s="101"/>
      <c r="M55" s="246"/>
      <c r="N55" s="77"/>
    </row>
    <row r="56" spans="1:14" s="49" customFormat="1" ht="18" customHeight="1">
      <c r="A56" s="97"/>
      <c r="B56" s="98" t="s">
        <v>153</v>
      </c>
      <c r="C56" s="99"/>
      <c r="D56" s="101"/>
      <c r="E56" s="100"/>
      <c r="F56" s="77"/>
      <c r="G56" s="99"/>
      <c r="H56" s="101"/>
      <c r="I56" s="246"/>
      <c r="J56" s="77"/>
      <c r="K56" s="99"/>
      <c r="L56" s="101"/>
      <c r="M56" s="246"/>
      <c r="N56" s="77"/>
    </row>
    <row r="57" spans="1:14" s="49" customFormat="1" ht="18" customHeight="1">
      <c r="A57" s="97" t="s">
        <v>173</v>
      </c>
      <c r="B57" s="98" t="s">
        <v>142</v>
      </c>
      <c r="C57" s="99"/>
      <c r="D57" s="101"/>
      <c r="E57" s="100"/>
      <c r="F57" s="77"/>
      <c r="G57" s="99"/>
      <c r="H57" s="101"/>
      <c r="I57" s="246"/>
      <c r="J57" s="77"/>
      <c r="K57" s="99"/>
      <c r="L57" s="101"/>
      <c r="M57" s="246"/>
      <c r="N57" s="77"/>
    </row>
    <row r="58" spans="1:14" s="49" customFormat="1" ht="18" customHeight="1">
      <c r="A58" s="97" t="s">
        <v>174</v>
      </c>
      <c r="B58" s="98" t="s">
        <v>175</v>
      </c>
      <c r="C58" s="99"/>
      <c r="D58" s="101"/>
      <c r="E58" s="100"/>
      <c r="F58" s="77"/>
      <c r="G58" s="99"/>
      <c r="H58" s="101"/>
      <c r="I58" s="246"/>
      <c r="J58" s="77"/>
      <c r="K58" s="99"/>
      <c r="L58" s="101"/>
      <c r="M58" s="246"/>
      <c r="N58" s="77"/>
    </row>
    <row r="59" spans="1:14" s="49" customFormat="1" ht="18" customHeight="1">
      <c r="A59" s="97" t="s">
        <v>176</v>
      </c>
      <c r="B59" s="98" t="s">
        <v>143</v>
      </c>
      <c r="C59" s="99"/>
      <c r="D59" s="101"/>
      <c r="E59" s="100"/>
      <c r="F59" s="77"/>
      <c r="G59" s="99"/>
      <c r="H59" s="101"/>
      <c r="I59" s="246"/>
      <c r="J59" s="77"/>
      <c r="K59" s="99"/>
      <c r="L59" s="101"/>
      <c r="M59" s="246"/>
      <c r="N59" s="77"/>
    </row>
    <row r="60" spans="1:14" s="49" customFormat="1" ht="18" customHeight="1">
      <c r="A60" s="97" t="s">
        <v>177</v>
      </c>
      <c r="B60" s="98" t="s">
        <v>159</v>
      </c>
      <c r="C60" s="99"/>
      <c r="D60" s="101"/>
      <c r="E60" s="100"/>
      <c r="F60" s="77"/>
      <c r="G60" s="99"/>
      <c r="H60" s="101"/>
      <c r="I60" s="246"/>
      <c r="J60" s="77"/>
      <c r="K60" s="99"/>
      <c r="L60" s="101"/>
      <c r="M60" s="246"/>
      <c r="N60" s="77"/>
    </row>
    <row r="61" spans="1:14" s="49" customFormat="1" ht="18" customHeight="1">
      <c r="A61" s="97"/>
      <c r="B61" s="98" t="s">
        <v>166</v>
      </c>
      <c r="C61" s="99"/>
      <c r="D61" s="101"/>
      <c r="E61" s="100"/>
      <c r="F61" s="77"/>
      <c r="G61" s="99"/>
      <c r="H61" s="101"/>
      <c r="I61" s="246"/>
      <c r="J61" s="77"/>
      <c r="K61" s="99"/>
      <c r="L61" s="101"/>
      <c r="M61" s="246"/>
      <c r="N61" s="77"/>
    </row>
    <row r="62" spans="1:14" s="49" customFormat="1" ht="18" customHeight="1">
      <c r="A62" s="97" t="s">
        <v>178</v>
      </c>
      <c r="B62" s="98" t="s">
        <v>179</v>
      </c>
      <c r="C62" s="99"/>
      <c r="D62" s="101"/>
      <c r="E62" s="100"/>
      <c r="F62" s="77"/>
      <c r="G62" s="99"/>
      <c r="H62" s="101"/>
      <c r="I62" s="246"/>
      <c r="J62" s="77"/>
      <c r="K62" s="99"/>
      <c r="L62" s="101"/>
      <c r="M62" s="246"/>
      <c r="N62" s="77"/>
    </row>
    <row r="63" spans="1:14" s="49" customFormat="1" ht="18" customHeight="1">
      <c r="A63" s="97" t="s">
        <v>180</v>
      </c>
      <c r="B63" s="102" t="s">
        <v>181</v>
      </c>
      <c r="C63" s="99"/>
      <c r="D63" s="101"/>
      <c r="E63" s="100"/>
      <c r="F63" s="77"/>
      <c r="G63" s="99"/>
      <c r="H63" s="101"/>
      <c r="I63" s="246"/>
      <c r="J63" s="77"/>
      <c r="K63" s="99"/>
      <c r="L63" s="101"/>
      <c r="M63" s="246"/>
      <c r="N63" s="77"/>
    </row>
    <row r="64" spans="1:14" s="49" customFormat="1" ht="18" customHeight="1">
      <c r="A64" s="97" t="s">
        <v>182</v>
      </c>
      <c r="B64" s="102" t="s">
        <v>183</v>
      </c>
      <c r="C64" s="99"/>
      <c r="D64" s="101"/>
      <c r="E64" s="100"/>
      <c r="F64" s="77"/>
      <c r="G64" s="99"/>
      <c r="H64" s="101"/>
      <c r="I64" s="246"/>
      <c r="J64" s="77"/>
      <c r="K64" s="99"/>
      <c r="L64" s="101"/>
      <c r="M64" s="246"/>
      <c r="N64" s="77"/>
    </row>
    <row r="65" spans="1:14" s="49" customFormat="1" ht="18" customHeight="1">
      <c r="A65" s="97" t="s">
        <v>184</v>
      </c>
      <c r="B65" s="102" t="s">
        <v>185</v>
      </c>
      <c r="C65" s="99"/>
      <c r="D65" s="101"/>
      <c r="E65" s="100"/>
      <c r="F65" s="77"/>
      <c r="G65" s="99"/>
      <c r="H65" s="101"/>
      <c r="I65" s="246"/>
      <c r="J65" s="77"/>
      <c r="K65" s="99"/>
      <c r="L65" s="101"/>
      <c r="M65" s="246"/>
      <c r="N65" s="77"/>
    </row>
    <row r="66" spans="1:14" s="49" customFormat="1" ht="18" customHeight="1">
      <c r="A66" s="97" t="s">
        <v>186</v>
      </c>
      <c r="B66" s="102" t="s">
        <v>187</v>
      </c>
      <c r="C66" s="99"/>
      <c r="D66" s="101"/>
      <c r="E66" s="100"/>
      <c r="F66" s="77"/>
      <c r="G66" s="99"/>
      <c r="H66" s="101"/>
      <c r="I66" s="246"/>
      <c r="J66" s="77"/>
      <c r="K66" s="99"/>
      <c r="L66" s="101"/>
      <c r="M66" s="246"/>
      <c r="N66" s="77"/>
    </row>
    <row r="67" spans="1:14" s="22" customFormat="1" ht="18" customHeight="1">
      <c r="A67" s="103" t="s">
        <v>188</v>
      </c>
      <c r="B67" s="104" t="s">
        <v>189</v>
      </c>
      <c r="C67" s="81">
        <f>П1.4!E16</f>
        <v>271252.76</v>
      </c>
      <c r="D67" s="83">
        <f>П1.5!E7</f>
        <v>70.320999999999998</v>
      </c>
      <c r="E67" s="82"/>
      <c r="F67" s="77"/>
      <c r="G67" s="81">
        <f>П1.4!J7</f>
        <v>275254.01699999999</v>
      </c>
      <c r="H67" s="83">
        <f>П1.5!J7</f>
        <v>73.313999999999993</v>
      </c>
      <c r="I67" s="248"/>
      <c r="J67" s="77"/>
      <c r="K67" s="81">
        <f>C67+G67</f>
        <v>546506.777</v>
      </c>
      <c r="L67" s="83">
        <f>П1.5!O7</f>
        <v>71.816999999999993</v>
      </c>
      <c r="M67" s="248"/>
      <c r="N67" s="77"/>
    </row>
    <row r="68" spans="1:14" s="84" customFormat="1" ht="18" customHeight="1">
      <c r="A68" s="85"/>
      <c r="B68" s="86" t="s">
        <v>141</v>
      </c>
      <c r="C68" s="87"/>
      <c r="D68" s="90"/>
      <c r="E68" s="88"/>
      <c r="F68" s="89"/>
      <c r="G68" s="87"/>
      <c r="H68" s="90"/>
      <c r="I68" s="249"/>
      <c r="J68" s="89"/>
      <c r="K68" s="87"/>
      <c r="L68" s="90"/>
      <c r="M68" s="249"/>
      <c r="N68" s="89"/>
    </row>
    <row r="69" spans="1:14" s="22" customFormat="1" ht="18" customHeight="1">
      <c r="A69" s="103" t="s">
        <v>190</v>
      </c>
      <c r="B69" s="104" t="s">
        <v>191</v>
      </c>
      <c r="C69" s="81">
        <v>0</v>
      </c>
      <c r="D69" s="83">
        <v>0</v>
      </c>
      <c r="E69" s="82"/>
      <c r="F69" s="77"/>
      <c r="G69" s="81">
        <v>0</v>
      </c>
      <c r="H69" s="83">
        <v>0</v>
      </c>
      <c r="I69" s="248"/>
      <c r="J69" s="77"/>
      <c r="K69" s="81">
        <f>C69+G69</f>
        <v>0</v>
      </c>
      <c r="L69" s="83">
        <v>0</v>
      </c>
      <c r="M69" s="248"/>
      <c r="N69" s="77"/>
    </row>
    <row r="70" spans="1:14" s="22" customFormat="1" ht="18" customHeight="1">
      <c r="A70" s="103" t="s">
        <v>192</v>
      </c>
      <c r="B70" s="104" t="s">
        <v>140</v>
      </c>
      <c r="C70" s="81">
        <f>C67</f>
        <v>271252.76</v>
      </c>
      <c r="D70" s="83">
        <f>D67</f>
        <v>70.320999999999998</v>
      </c>
      <c r="E70" s="82"/>
      <c r="F70" s="77"/>
      <c r="G70" s="81">
        <f>G67</f>
        <v>275254.01699999999</v>
      </c>
      <c r="H70" s="83">
        <f>H67</f>
        <v>73.313999999999993</v>
      </c>
      <c r="I70" s="248"/>
      <c r="J70" s="77"/>
      <c r="K70" s="81">
        <f>C70+G70</f>
        <v>546506.777</v>
      </c>
      <c r="L70" s="83">
        <f>L67</f>
        <v>71.816999999999993</v>
      </c>
      <c r="M70" s="248"/>
      <c r="N70" s="77"/>
    </row>
    <row r="71" spans="1:14" s="84" customFormat="1" ht="18" customHeight="1">
      <c r="A71" s="85"/>
      <c r="B71" s="86" t="s">
        <v>141</v>
      </c>
      <c r="C71" s="87"/>
      <c r="D71" s="90"/>
      <c r="E71" s="88"/>
      <c r="F71" s="89"/>
      <c r="G71" s="87"/>
      <c r="H71" s="90"/>
      <c r="I71" s="249"/>
      <c r="J71" s="89"/>
      <c r="K71" s="87"/>
      <c r="L71" s="90"/>
      <c r="M71" s="249"/>
      <c r="N71" s="89"/>
    </row>
    <row r="72" spans="1:14" s="49" customFormat="1" ht="18" customHeight="1">
      <c r="A72" s="79" t="s">
        <v>193</v>
      </c>
      <c r="B72" s="80" t="str">
        <f>B12</f>
        <v>ПАО "ФСК ЕЭС"</v>
      </c>
      <c r="C72" s="81">
        <f>C12</f>
        <v>13090.066000000001</v>
      </c>
      <c r="D72" s="83">
        <f>D12</f>
        <v>6.1749999999999998</v>
      </c>
      <c r="E72" s="82"/>
      <c r="F72" s="77"/>
      <c r="G72" s="81">
        <f>G12</f>
        <v>14873.619000000001</v>
      </c>
      <c r="H72" s="83">
        <f>H12</f>
        <v>6.1749999999999998</v>
      </c>
      <c r="I72" s="248"/>
      <c r="J72" s="77"/>
      <c r="K72" s="81">
        <f>C72+G72</f>
        <v>27963.685000000001</v>
      </c>
      <c r="L72" s="83">
        <f>L12</f>
        <v>6.1749999999999998</v>
      </c>
      <c r="M72" s="248"/>
      <c r="N72" s="77"/>
    </row>
    <row r="73" spans="1:14" s="49" customFormat="1" ht="18" customHeight="1">
      <c r="A73" s="79" t="s">
        <v>194</v>
      </c>
      <c r="B73" s="80" t="str">
        <f>B13</f>
        <v>ПАО "Россети Сибирь"-"Кузбассэнерго-РЭС"</v>
      </c>
      <c r="C73" s="81">
        <f>C67-C72-C74</f>
        <v>226579.02300000002</v>
      </c>
      <c r="D73" s="83">
        <f>D67-D72-D74</f>
        <v>56.335999999999999</v>
      </c>
      <c r="E73" s="82"/>
      <c r="F73" s="77"/>
      <c r="G73" s="81">
        <f>G67-G72-G74</f>
        <v>234064.39899999998</v>
      </c>
      <c r="H73" s="83">
        <f>H67-H72-H74</f>
        <v>60.327999999999996</v>
      </c>
      <c r="I73" s="248"/>
      <c r="J73" s="77"/>
      <c r="K73" s="81">
        <f>C73+G73</f>
        <v>460643.42200000002</v>
      </c>
      <c r="L73" s="83">
        <f>L67-L72-L74-0.001</f>
        <v>58.331499999999998</v>
      </c>
      <c r="M73" s="248"/>
      <c r="N73" s="77"/>
    </row>
    <row r="74" spans="1:14" s="49" customFormat="1" ht="18" customHeight="1">
      <c r="A74" s="79" t="s">
        <v>195</v>
      </c>
      <c r="B74" s="80" t="str">
        <f>B14</f>
        <v>АО "Электросеть"</v>
      </c>
      <c r="C74" s="81">
        <f>C14</f>
        <v>31583.670999999998</v>
      </c>
      <c r="D74" s="83">
        <f>D14</f>
        <v>7.81</v>
      </c>
      <c r="E74" s="82"/>
      <c r="F74" s="77"/>
      <c r="G74" s="81">
        <f>G14</f>
        <v>26315.999</v>
      </c>
      <c r="H74" s="83">
        <f>H14</f>
        <v>6.8109999999999999</v>
      </c>
      <c r="I74" s="248"/>
      <c r="J74" s="77"/>
      <c r="K74" s="81">
        <f>C74+G74</f>
        <v>57899.67</v>
      </c>
      <c r="L74" s="83">
        <f>L14</f>
        <v>7.309499999999999</v>
      </c>
      <c r="M74" s="248"/>
      <c r="N74" s="77"/>
    </row>
    <row r="75" spans="1:14" s="49" customFormat="1" ht="18" customHeight="1">
      <c r="A75" s="103" t="s">
        <v>196</v>
      </c>
      <c r="B75" s="104" t="s">
        <v>168</v>
      </c>
      <c r="C75" s="81">
        <f>П1.4!E22</f>
        <v>4659.9920000000002</v>
      </c>
      <c r="D75" s="83">
        <f>П1.5!E22</f>
        <v>1.25</v>
      </c>
      <c r="E75" s="82"/>
      <c r="F75" s="77"/>
      <c r="G75" s="81">
        <f>П1.4!J22</f>
        <v>4441.6549999999997</v>
      </c>
      <c r="H75" s="83">
        <f>П1.5!J22</f>
        <v>1.202</v>
      </c>
      <c r="I75" s="248"/>
      <c r="J75" s="77"/>
      <c r="K75" s="81">
        <f>C75+G75</f>
        <v>9101.6470000000008</v>
      </c>
      <c r="L75" s="83">
        <f>П1.5!O22</f>
        <v>1.226</v>
      </c>
      <c r="M75" s="248"/>
      <c r="N75" s="77"/>
    </row>
    <row r="76" spans="1:14" s="49" customFormat="1" ht="18" customHeight="1">
      <c r="A76" s="103" t="s">
        <v>58</v>
      </c>
      <c r="B76" s="104" t="s">
        <v>170</v>
      </c>
      <c r="C76" s="81">
        <f>П1.4!E29+П1.4!E28</f>
        <v>104969.72700000001</v>
      </c>
      <c r="D76" s="83">
        <f>П1.5!E28+П1.5!E29</f>
        <v>28.783000000000001</v>
      </c>
      <c r="E76" s="82"/>
      <c r="F76" s="77"/>
      <c r="G76" s="81">
        <f>П1.4!J28+П1.4!J29</f>
        <v>103957.516</v>
      </c>
      <c r="H76" s="83">
        <f>П1.5!J28+П1.5!J29</f>
        <v>30.196999999999999</v>
      </c>
      <c r="I76" s="248"/>
      <c r="J76" s="77"/>
      <c r="K76" s="81">
        <f>C76+G76</f>
        <v>208927.24300000002</v>
      </c>
      <c r="L76" s="83">
        <f>П1.5!O28+П1.5!O29</f>
        <v>29.4895</v>
      </c>
      <c r="M76" s="248"/>
      <c r="N76" s="77"/>
    </row>
    <row r="77" spans="1:14" s="84" customFormat="1" ht="18" customHeight="1">
      <c r="A77" s="85"/>
      <c r="B77" s="86" t="s">
        <v>148</v>
      </c>
      <c r="C77" s="87"/>
      <c r="D77" s="90"/>
      <c r="E77" s="88"/>
      <c r="F77" s="89"/>
      <c r="G77" s="87"/>
      <c r="H77" s="90"/>
      <c r="I77" s="249"/>
      <c r="J77" s="89"/>
      <c r="K77" s="87"/>
      <c r="L77" s="90"/>
      <c r="M77" s="249"/>
      <c r="N77" s="89"/>
    </row>
    <row r="78" spans="1:14" s="49" customFormat="1" ht="18" customHeight="1">
      <c r="A78" s="103" t="s">
        <v>197</v>
      </c>
      <c r="B78" s="104" t="s">
        <v>150</v>
      </c>
      <c r="C78" s="81">
        <f>П1.4!E32</f>
        <v>103444.86500000001</v>
      </c>
      <c r="D78" s="83">
        <f>П1.5!E32</f>
        <v>28.291</v>
      </c>
      <c r="E78" s="82"/>
      <c r="F78" s="77"/>
      <c r="G78" s="81">
        <f>П1.4!J32</f>
        <v>101175.09600000001</v>
      </c>
      <c r="H78" s="83">
        <f>П1.5!J32</f>
        <v>29.312999999999999</v>
      </c>
      <c r="I78" s="248"/>
      <c r="J78" s="77"/>
      <c r="K78" s="81">
        <f>C78+G78</f>
        <v>204619.96100000001</v>
      </c>
      <c r="L78" s="83">
        <f>П1.5!O32</f>
        <v>28.802</v>
      </c>
      <c r="M78" s="248"/>
      <c r="N78" s="77"/>
    </row>
    <row r="79" spans="1:14" s="49" customFormat="1" ht="18" customHeight="1">
      <c r="A79" s="103" t="s">
        <v>198</v>
      </c>
      <c r="B79" s="104" t="s">
        <v>152</v>
      </c>
      <c r="C79" s="81">
        <f>П1.4!E28+П1.4!E34</f>
        <v>1524.8620000000001</v>
      </c>
      <c r="D79" s="83">
        <f>П1.5!E28+П1.5!E35</f>
        <v>0.49199999999999999</v>
      </c>
      <c r="E79" s="82"/>
      <c r="F79" s="77"/>
      <c r="G79" s="81">
        <f>П1.4!J28+П1.4!J34</f>
        <v>2782.42</v>
      </c>
      <c r="H79" s="83">
        <f>П1.5!J28+П1.5!J35</f>
        <v>0.88400000000000001</v>
      </c>
      <c r="I79" s="248"/>
      <c r="J79" s="77"/>
      <c r="K79" s="81">
        <f>C79+G79</f>
        <v>4307.2820000000002</v>
      </c>
      <c r="L79" s="83">
        <f>+П1.5!O35+П1.5!O28</f>
        <v>0.6875</v>
      </c>
      <c r="M79" s="248"/>
      <c r="N79" s="77"/>
    </row>
    <row r="80" spans="1:14" s="84" customFormat="1" ht="18" customHeight="1">
      <c r="A80" s="85"/>
      <c r="B80" s="86" t="s">
        <v>153</v>
      </c>
      <c r="C80" s="87"/>
      <c r="D80" s="90"/>
      <c r="E80" s="88"/>
      <c r="F80" s="89"/>
      <c r="G80" s="87"/>
      <c r="H80" s="90"/>
      <c r="I80" s="249"/>
      <c r="J80" s="89"/>
      <c r="K80" s="87"/>
      <c r="L80" s="90"/>
      <c r="M80" s="249"/>
      <c r="N80" s="89"/>
    </row>
    <row r="81" spans="1:14" s="49" customFormat="1" ht="18" customHeight="1">
      <c r="A81" s="79" t="s">
        <v>199</v>
      </c>
      <c r="B81" s="80" t="str">
        <f>B72</f>
        <v>ПАО "ФСК ЕЭС"</v>
      </c>
      <c r="C81" s="81">
        <v>0</v>
      </c>
      <c r="D81" s="83">
        <v>0</v>
      </c>
      <c r="E81" s="82"/>
      <c r="F81" s="77"/>
      <c r="G81" s="81">
        <v>0</v>
      </c>
      <c r="H81" s="83">
        <v>0</v>
      </c>
      <c r="I81" s="248"/>
      <c r="J81" s="77"/>
      <c r="K81" s="81">
        <f t="shared" ref="K81:K87" si="1">C81+G81</f>
        <v>0</v>
      </c>
      <c r="L81" s="83">
        <v>0</v>
      </c>
      <c r="M81" s="248"/>
      <c r="N81" s="77"/>
    </row>
    <row r="82" spans="1:14" s="49" customFormat="1" ht="18" customHeight="1">
      <c r="A82" s="79" t="s">
        <v>200</v>
      </c>
      <c r="B82" s="80" t="s">
        <v>201</v>
      </c>
      <c r="C82" s="81">
        <f>C81-C72</f>
        <v>-13090.066000000001</v>
      </c>
      <c r="D82" s="83">
        <f>D81-D72</f>
        <v>-6.1749999999999998</v>
      </c>
      <c r="E82" s="82"/>
      <c r="F82" s="96"/>
      <c r="G82" s="81">
        <f>G81-G72</f>
        <v>-14873.619000000001</v>
      </c>
      <c r="H82" s="83">
        <f>H81-H72</f>
        <v>-6.1749999999999998</v>
      </c>
      <c r="I82" s="248"/>
      <c r="J82" s="96"/>
      <c r="K82" s="81">
        <f t="shared" si="1"/>
        <v>-27963.685000000001</v>
      </c>
      <c r="L82" s="83">
        <f>L81-L72</f>
        <v>-6.1749999999999998</v>
      </c>
      <c r="M82" s="248"/>
      <c r="N82" s="96"/>
    </row>
    <row r="83" spans="1:14" s="49" customFormat="1" ht="18" customHeight="1">
      <c r="A83" s="79" t="s">
        <v>202</v>
      </c>
      <c r="B83" s="80" t="str">
        <f>B73</f>
        <v>ПАО "Россети Сибирь"-"Кузбассэнерго-РЭС"</v>
      </c>
      <c r="C83" s="81">
        <f>П1.6!D38</f>
        <v>0</v>
      </c>
      <c r="D83" s="83">
        <f>П1.6!I38</f>
        <v>0</v>
      </c>
      <c r="E83" s="82"/>
      <c r="F83" s="96"/>
      <c r="G83" s="81">
        <f>П1.6!D81</f>
        <v>0</v>
      </c>
      <c r="H83" s="83">
        <f>П1.6!I81</f>
        <v>0</v>
      </c>
      <c r="I83" s="248"/>
      <c r="J83" s="96"/>
      <c r="K83" s="81">
        <f t="shared" si="1"/>
        <v>0</v>
      </c>
      <c r="L83" s="83">
        <f>П1.6!I124</f>
        <v>0</v>
      </c>
      <c r="M83" s="248"/>
      <c r="N83" s="96"/>
    </row>
    <row r="84" spans="1:14" s="49" customFormat="1" ht="18" customHeight="1">
      <c r="A84" s="79" t="s">
        <v>203</v>
      </c>
      <c r="B84" s="80" t="s">
        <v>204</v>
      </c>
      <c r="C84" s="81">
        <f>C83-C73</f>
        <v>-226579.02300000002</v>
      </c>
      <c r="D84" s="83">
        <f>D83-D73</f>
        <v>-56.335999999999999</v>
      </c>
      <c r="E84" s="82"/>
      <c r="F84" s="96"/>
      <c r="G84" s="81">
        <f>G83-G73</f>
        <v>-234064.39899999998</v>
      </c>
      <c r="H84" s="83">
        <f>H83-H73</f>
        <v>-60.327999999999996</v>
      </c>
      <c r="I84" s="248"/>
      <c r="J84" s="96"/>
      <c r="K84" s="81">
        <f t="shared" si="1"/>
        <v>-460643.42200000002</v>
      </c>
      <c r="L84" s="83">
        <f>L83-L73</f>
        <v>-58.331499999999998</v>
      </c>
      <c r="M84" s="248"/>
      <c r="N84" s="96"/>
    </row>
    <row r="85" spans="1:14" s="49" customFormat="1" ht="18" customHeight="1">
      <c r="A85" s="79" t="s">
        <v>205</v>
      </c>
      <c r="B85" s="94" t="str">
        <f>B74</f>
        <v>АО "Электросеть"</v>
      </c>
      <c r="C85" s="81">
        <f>C28</f>
        <v>1364.232</v>
      </c>
      <c r="D85" s="81">
        <f>D28</f>
        <v>0.433</v>
      </c>
      <c r="E85" s="82"/>
      <c r="F85" s="96"/>
      <c r="G85" s="81">
        <f>G28</f>
        <v>2641.3409999999999</v>
      </c>
      <c r="H85" s="81">
        <f>H28</f>
        <v>0.82799999999999996</v>
      </c>
      <c r="I85" s="248"/>
      <c r="J85" s="96"/>
      <c r="K85" s="81">
        <f>K28</f>
        <v>4005.5729999999999</v>
      </c>
      <c r="L85" s="81">
        <f>L28</f>
        <v>0.62949999999999995</v>
      </c>
      <c r="M85" s="81"/>
      <c r="N85" s="96"/>
    </row>
    <row r="86" spans="1:14" s="49" customFormat="1" ht="18" customHeight="1">
      <c r="A86" s="79" t="s">
        <v>206</v>
      </c>
      <c r="B86" s="94" t="s">
        <v>207</v>
      </c>
      <c r="C86" s="81">
        <f>C85-C74</f>
        <v>-30219.438999999998</v>
      </c>
      <c r="D86" s="83">
        <f>D85-D74</f>
        <v>-7.3769999999999998</v>
      </c>
      <c r="E86" s="82"/>
      <c r="F86" s="96"/>
      <c r="G86" s="81">
        <f>G85-G74</f>
        <v>-23674.657999999999</v>
      </c>
      <c r="H86" s="83">
        <f>H85-H74</f>
        <v>-5.9829999999999997</v>
      </c>
      <c r="I86" s="248"/>
      <c r="J86" s="96"/>
      <c r="K86" s="81">
        <f t="shared" si="1"/>
        <v>-53894.096999999994</v>
      </c>
      <c r="L86" s="83">
        <f>L85-L74</f>
        <v>-6.6799999999999988</v>
      </c>
      <c r="M86" s="248"/>
      <c r="N86" s="96"/>
    </row>
    <row r="87" spans="1:14" s="49" customFormat="1" ht="18" customHeight="1">
      <c r="A87" s="79" t="s">
        <v>298</v>
      </c>
      <c r="B87" s="94" t="s">
        <v>277</v>
      </c>
      <c r="C87" s="81">
        <f>П1.4!E28</f>
        <v>160.63</v>
      </c>
      <c r="D87" s="83">
        <f>П1.5!E28</f>
        <v>5.8999999999999997E-2</v>
      </c>
      <c r="E87" s="82"/>
      <c r="F87" s="96"/>
      <c r="G87" s="81">
        <f>П1.4!J28</f>
        <v>141.07900000000001</v>
      </c>
      <c r="H87" s="83">
        <f>П1.5!J28</f>
        <v>5.6000000000000001E-2</v>
      </c>
      <c r="I87" s="248"/>
      <c r="J87" s="96"/>
      <c r="K87" s="81">
        <f t="shared" si="1"/>
        <v>301.709</v>
      </c>
      <c r="L87" s="83">
        <f>П1.5!O28</f>
        <v>5.8000000000000003E-2</v>
      </c>
      <c r="M87" s="248"/>
      <c r="N87" s="96"/>
    </row>
    <row r="88" spans="1:14" s="49" customFormat="1" ht="18" customHeight="1">
      <c r="A88" s="103" t="s">
        <v>208</v>
      </c>
      <c r="B88" s="104" t="s">
        <v>209</v>
      </c>
      <c r="C88" s="81"/>
      <c r="D88" s="83"/>
      <c r="E88" s="82"/>
      <c r="F88" s="77"/>
      <c r="G88" s="81"/>
      <c r="H88" s="83"/>
      <c r="I88" s="248"/>
      <c r="J88" s="77"/>
      <c r="K88" s="81"/>
      <c r="L88" s="83"/>
      <c r="M88" s="248"/>
      <c r="N88" s="77"/>
    </row>
    <row r="89" spans="1:14" s="49" customFormat="1" ht="18" customHeight="1">
      <c r="A89" s="103" t="s">
        <v>210</v>
      </c>
      <c r="B89" s="221" t="s">
        <v>183</v>
      </c>
      <c r="C89" s="81">
        <f>C67-C75-C78-C79</f>
        <v>161623.041</v>
      </c>
      <c r="D89" s="83">
        <f>D67-D75-D78-D79</f>
        <v>40.288000000000004</v>
      </c>
      <c r="E89" s="82"/>
      <c r="F89" s="77"/>
      <c r="G89" s="81">
        <f>G67-G75-G78-G79</f>
        <v>166854.84599999993</v>
      </c>
      <c r="H89" s="83">
        <f>H67-H75-H78-H79</f>
        <v>41.914999999999992</v>
      </c>
      <c r="I89" s="248"/>
      <c r="J89" s="77"/>
      <c r="K89" s="81">
        <f>C89+G89</f>
        <v>328477.88699999993</v>
      </c>
      <c r="L89" s="83">
        <f>L67-L75-L78-L79-0.001</f>
        <v>41.100499999999997</v>
      </c>
      <c r="M89" s="248"/>
      <c r="N89" s="77"/>
    </row>
    <row r="90" spans="1:14" s="49" customFormat="1" ht="18" customHeight="1">
      <c r="A90" s="103" t="s">
        <v>211</v>
      </c>
      <c r="B90" s="221" t="s">
        <v>185</v>
      </c>
      <c r="C90" s="81"/>
      <c r="D90" s="83"/>
      <c r="E90" s="82"/>
      <c r="F90" s="77"/>
      <c r="G90" s="81"/>
      <c r="H90" s="83"/>
      <c r="I90" s="248"/>
      <c r="J90" s="77"/>
      <c r="K90" s="81"/>
      <c r="L90" s="83"/>
      <c r="M90" s="248"/>
      <c r="N90" s="77"/>
    </row>
    <row r="91" spans="1:14" s="49" customFormat="1" ht="18" customHeight="1">
      <c r="A91" s="103" t="s">
        <v>212</v>
      </c>
      <c r="B91" s="221" t="s">
        <v>187</v>
      </c>
      <c r="C91" s="81"/>
      <c r="D91" s="83"/>
      <c r="E91" s="82"/>
      <c r="F91" s="77"/>
      <c r="G91" s="81"/>
      <c r="H91" s="83"/>
      <c r="I91" s="248"/>
      <c r="J91" s="77"/>
      <c r="K91" s="81"/>
      <c r="L91" s="83"/>
      <c r="M91" s="248"/>
      <c r="N91" s="77"/>
    </row>
    <row r="92" spans="1:14" s="49" customFormat="1" ht="18" customHeight="1">
      <c r="A92" s="103" t="s">
        <v>213</v>
      </c>
      <c r="B92" s="104" t="s">
        <v>214</v>
      </c>
      <c r="C92" s="81">
        <f>П1.4!F7</f>
        <v>195937.416</v>
      </c>
      <c r="D92" s="83">
        <f>П1.5!F7</f>
        <v>52.970000000000006</v>
      </c>
      <c r="E92" s="82"/>
      <c r="F92" s="77"/>
      <c r="G92" s="81">
        <f>П1.4!K7</f>
        <v>208249.55599999992</v>
      </c>
      <c r="H92" s="83">
        <f>П1.5!K7</f>
        <v>54.807999999999993</v>
      </c>
      <c r="I92" s="248"/>
      <c r="J92" s="77"/>
      <c r="K92" s="81">
        <f>C92+G92</f>
        <v>404186.97199999995</v>
      </c>
      <c r="L92" s="83">
        <f>П1.5!P7</f>
        <v>53.888999999999989</v>
      </c>
      <c r="M92" s="248"/>
      <c r="N92" s="77"/>
    </row>
    <row r="93" spans="1:14" s="84" customFormat="1" ht="18" customHeight="1">
      <c r="A93" s="85"/>
      <c r="B93" s="86" t="s">
        <v>141</v>
      </c>
      <c r="C93" s="87"/>
      <c r="D93" s="90"/>
      <c r="E93" s="88"/>
      <c r="F93" s="89"/>
      <c r="G93" s="87"/>
      <c r="H93" s="90"/>
      <c r="I93" s="249"/>
      <c r="J93" s="89"/>
      <c r="K93" s="87"/>
      <c r="L93" s="90"/>
      <c r="M93" s="249"/>
      <c r="N93" s="89"/>
    </row>
    <row r="94" spans="1:14" s="49" customFormat="1" ht="18" customHeight="1">
      <c r="A94" s="103" t="s">
        <v>215</v>
      </c>
      <c r="B94" s="104" t="s">
        <v>191</v>
      </c>
      <c r="C94" s="81">
        <v>0</v>
      </c>
      <c r="D94" s="83">
        <v>0</v>
      </c>
      <c r="E94" s="82"/>
      <c r="F94" s="77"/>
      <c r="G94" s="81">
        <v>0</v>
      </c>
      <c r="H94" s="83">
        <v>0</v>
      </c>
      <c r="I94" s="248"/>
      <c r="J94" s="77"/>
      <c r="K94" s="81">
        <f>C94+G94</f>
        <v>0</v>
      </c>
      <c r="L94" s="83">
        <v>0</v>
      </c>
      <c r="M94" s="248"/>
      <c r="N94" s="77"/>
    </row>
    <row r="95" spans="1:14" s="49" customFormat="1" ht="18" customHeight="1">
      <c r="A95" s="103" t="s">
        <v>216</v>
      </c>
      <c r="B95" s="104" t="s">
        <v>140</v>
      </c>
      <c r="C95" s="81">
        <f>C92</f>
        <v>195937.416</v>
      </c>
      <c r="D95" s="83">
        <f>D92</f>
        <v>52.970000000000006</v>
      </c>
      <c r="E95" s="82"/>
      <c r="F95" s="77"/>
      <c r="G95" s="81">
        <f>G92</f>
        <v>208249.55599999992</v>
      </c>
      <c r="H95" s="83">
        <f>H92</f>
        <v>54.807999999999993</v>
      </c>
      <c r="I95" s="248"/>
      <c r="J95" s="77"/>
      <c r="K95" s="81">
        <f>C95+G95</f>
        <v>404186.97199999995</v>
      </c>
      <c r="L95" s="83">
        <f>L92</f>
        <v>53.888999999999989</v>
      </c>
      <c r="M95" s="248"/>
      <c r="N95" s="77"/>
    </row>
    <row r="96" spans="1:14" s="84" customFormat="1" ht="18" customHeight="1">
      <c r="A96" s="85"/>
      <c r="B96" s="86" t="s">
        <v>141</v>
      </c>
      <c r="C96" s="87"/>
      <c r="D96" s="90"/>
      <c r="E96" s="88"/>
      <c r="F96" s="89"/>
      <c r="G96" s="87"/>
      <c r="H96" s="90"/>
      <c r="I96" s="249"/>
      <c r="J96" s="89"/>
      <c r="K96" s="87"/>
      <c r="L96" s="90"/>
      <c r="M96" s="249"/>
      <c r="N96" s="89"/>
    </row>
    <row r="97" spans="1:14" s="49" customFormat="1" ht="18" customHeight="1">
      <c r="A97" s="79" t="s">
        <v>217</v>
      </c>
      <c r="B97" s="80" t="str">
        <f>B83</f>
        <v>ПАО "Россети Сибирь"-"Кузбассэнерго-РЭС"</v>
      </c>
      <c r="C97" s="81">
        <f>C95-C98-C99</f>
        <v>34018.303000000014</v>
      </c>
      <c r="D97" s="83">
        <f>D95-D98-D99</f>
        <v>12.559000000000005</v>
      </c>
      <c r="E97" s="82"/>
      <c r="F97" s="77"/>
      <c r="G97" s="81">
        <f>G95-G98-G99</f>
        <v>41073.486999999994</v>
      </c>
      <c r="H97" s="83">
        <f>H95-H98-H99</f>
        <v>12.779000000000003</v>
      </c>
      <c r="I97" s="248"/>
      <c r="J97" s="77"/>
      <c r="K97" s="81">
        <f>C97+G97</f>
        <v>75091.790000000008</v>
      </c>
      <c r="L97" s="83">
        <f>L95-L98-L99-0.001</f>
        <v>12.668999999999995</v>
      </c>
      <c r="M97" s="248"/>
      <c r="N97" s="307"/>
    </row>
    <row r="98" spans="1:14" s="49" customFormat="1" ht="18" customHeight="1">
      <c r="A98" s="79" t="s">
        <v>218</v>
      </c>
      <c r="B98" s="80" t="str">
        <f>B32</f>
        <v>ОАО "РЖД"</v>
      </c>
      <c r="C98" s="81">
        <f>C16</f>
        <v>296.072</v>
      </c>
      <c r="D98" s="83">
        <f>D16</f>
        <v>0.123</v>
      </c>
      <c r="E98" s="82"/>
      <c r="F98" s="77"/>
      <c r="G98" s="81">
        <f>G16</f>
        <v>321.22300000000001</v>
      </c>
      <c r="H98" s="83">
        <f>H16</f>
        <v>0.114</v>
      </c>
      <c r="I98" s="248"/>
      <c r="J98" s="77"/>
      <c r="K98" s="81">
        <f>C98+G98</f>
        <v>617.29500000000007</v>
      </c>
      <c r="L98" s="83">
        <f>L16</f>
        <v>0.11849999999999999</v>
      </c>
      <c r="M98" s="248"/>
      <c r="N98" s="77"/>
    </row>
    <row r="99" spans="1:14" s="49" customFormat="1" ht="18" customHeight="1">
      <c r="A99" s="79" t="s">
        <v>219</v>
      </c>
      <c r="B99" s="80" t="str">
        <f>B87</f>
        <v>ОАО "КузбассЭлектро"</v>
      </c>
      <c r="C99" s="81">
        <f>C89</f>
        <v>161623.041</v>
      </c>
      <c r="D99" s="83">
        <f>D89</f>
        <v>40.288000000000004</v>
      </c>
      <c r="E99" s="82"/>
      <c r="F99" s="77"/>
      <c r="G99" s="81">
        <f>G89</f>
        <v>166854.84599999993</v>
      </c>
      <c r="H99" s="83">
        <f>H89</f>
        <v>41.914999999999992</v>
      </c>
      <c r="I99" s="248"/>
      <c r="J99" s="77"/>
      <c r="K99" s="81">
        <f>C99+G99</f>
        <v>328477.88699999993</v>
      </c>
      <c r="L99" s="83">
        <f>L89</f>
        <v>41.100499999999997</v>
      </c>
      <c r="M99" s="248"/>
      <c r="N99" s="77"/>
    </row>
    <row r="100" spans="1:14" s="49" customFormat="1" ht="18" customHeight="1">
      <c r="A100" s="103" t="s">
        <v>220</v>
      </c>
      <c r="B100" s="104" t="s">
        <v>168</v>
      </c>
      <c r="C100" s="81">
        <f>П1.4!F22</f>
        <v>1892.876</v>
      </c>
      <c r="D100" s="83">
        <f>П1.5!F22</f>
        <v>0.52800000000000002</v>
      </c>
      <c r="E100" s="82"/>
      <c r="F100" s="77"/>
      <c r="G100" s="81">
        <f>П1.4!K22</f>
        <v>1801.145</v>
      </c>
      <c r="H100" s="83">
        <f>П1.5!K22</f>
        <v>0.497</v>
      </c>
      <c r="I100" s="248"/>
      <c r="J100" s="77"/>
      <c r="K100" s="81">
        <f>C100+G100</f>
        <v>3694.0209999999997</v>
      </c>
      <c r="L100" s="83">
        <f>П1.5!P22</f>
        <v>0.51200000000000001</v>
      </c>
      <c r="M100" s="248"/>
      <c r="N100" s="77"/>
    </row>
    <row r="101" spans="1:14" s="49" customFormat="1" ht="18" customHeight="1">
      <c r="A101" s="103" t="s">
        <v>221</v>
      </c>
      <c r="B101" s="104" t="s">
        <v>170</v>
      </c>
      <c r="C101" s="81">
        <f>П1.4!F29</f>
        <v>184364.52800000002</v>
      </c>
      <c r="D101" s="83">
        <f>П1.5!F29</f>
        <v>49.888999999999996</v>
      </c>
      <c r="E101" s="82"/>
      <c r="F101" s="77"/>
      <c r="G101" s="81">
        <f>П1.4!K29</f>
        <v>190098.652</v>
      </c>
      <c r="H101" s="83">
        <f>П1.5!K29</f>
        <v>50.027000000000001</v>
      </c>
      <c r="I101" s="248"/>
      <c r="J101" s="77"/>
      <c r="K101" s="81">
        <f>C101+G101</f>
        <v>374463.18000000005</v>
      </c>
      <c r="L101" s="83">
        <f>П1.5!P29</f>
        <v>49.957999999999998</v>
      </c>
      <c r="M101" s="248"/>
      <c r="N101" s="77"/>
    </row>
    <row r="102" spans="1:14" s="84" customFormat="1" ht="18" customHeight="1">
      <c r="A102" s="85"/>
      <c r="B102" s="86" t="s">
        <v>148</v>
      </c>
      <c r="C102" s="87"/>
      <c r="D102" s="90"/>
      <c r="E102" s="88"/>
      <c r="F102" s="89"/>
      <c r="G102" s="87"/>
      <c r="H102" s="90"/>
      <c r="I102" s="249"/>
      <c r="J102" s="89"/>
      <c r="K102" s="87"/>
      <c r="L102" s="90"/>
      <c r="M102" s="249"/>
      <c r="N102" s="89"/>
    </row>
    <row r="103" spans="1:14" s="49" customFormat="1" ht="18" customHeight="1">
      <c r="A103" s="103" t="s">
        <v>222</v>
      </c>
      <c r="B103" s="104" t="s">
        <v>150</v>
      </c>
      <c r="C103" s="81">
        <f>П1.4!F32</f>
        <v>152039.62100000001</v>
      </c>
      <c r="D103" s="83">
        <f>П1.5!F32</f>
        <v>38.235999999999997</v>
      </c>
      <c r="E103" s="82"/>
      <c r="F103" s="77"/>
      <c r="G103" s="81">
        <f>П1.4!K32</f>
        <v>157392.978</v>
      </c>
      <c r="H103" s="83">
        <f>П1.5!K32</f>
        <v>38.366999999999997</v>
      </c>
      <c r="I103" s="248"/>
      <c r="J103" s="77"/>
      <c r="K103" s="81">
        <f>C103+G103</f>
        <v>309432.59900000005</v>
      </c>
      <c r="L103" s="83">
        <f>П1.5!P32</f>
        <v>38.301000000000002</v>
      </c>
      <c r="M103" s="248"/>
      <c r="N103" s="77"/>
    </row>
    <row r="104" spans="1:14" s="49" customFormat="1" ht="18" customHeight="1">
      <c r="A104" s="103" t="s">
        <v>223</v>
      </c>
      <c r="B104" s="104" t="s">
        <v>152</v>
      </c>
      <c r="C104" s="81">
        <f>П1.4!F34</f>
        <v>32324.906999999999</v>
      </c>
      <c r="D104" s="83">
        <f>П1.5!F35</f>
        <v>11.653</v>
      </c>
      <c r="E104" s="82"/>
      <c r="F104" s="77"/>
      <c r="G104" s="81">
        <f>П1.4!K34</f>
        <v>32705.673999999999</v>
      </c>
      <c r="H104" s="83">
        <f>П1.5!K35</f>
        <v>11.66</v>
      </c>
      <c r="I104" s="248"/>
      <c r="J104" s="77"/>
      <c r="K104" s="81">
        <f>C104+G104</f>
        <v>65030.580999999998</v>
      </c>
      <c r="L104" s="83">
        <f>П1.5!P35</f>
        <v>11.657</v>
      </c>
      <c r="M104" s="248"/>
      <c r="N104" s="77"/>
    </row>
    <row r="105" spans="1:14" s="84" customFormat="1" ht="18" customHeight="1">
      <c r="A105" s="85"/>
      <c r="B105" s="86" t="s">
        <v>153</v>
      </c>
      <c r="C105" s="87"/>
      <c r="D105" s="90"/>
      <c r="E105" s="88"/>
      <c r="F105" s="89"/>
      <c r="G105" s="87"/>
      <c r="H105" s="90"/>
      <c r="I105" s="249"/>
      <c r="J105" s="89"/>
      <c r="K105" s="87"/>
      <c r="L105" s="90"/>
      <c r="M105" s="249"/>
      <c r="N105" s="89"/>
    </row>
    <row r="106" spans="1:14" s="49" customFormat="1" ht="18" customHeight="1">
      <c r="A106" s="79" t="s">
        <v>199</v>
      </c>
      <c r="B106" s="80" t="str">
        <f>B97</f>
        <v>ПАО "Россети Сибирь"-"Кузбассэнерго-РЭС"</v>
      </c>
      <c r="C106" s="81">
        <f>П1.6!E38</f>
        <v>0</v>
      </c>
      <c r="D106" s="83">
        <f>П1.6!J38</f>
        <v>0</v>
      </c>
      <c r="E106" s="82"/>
      <c r="F106" s="77"/>
      <c r="G106" s="81">
        <f>П1.6!E81</f>
        <v>0</v>
      </c>
      <c r="H106" s="83">
        <f>П1.6!J81</f>
        <v>0</v>
      </c>
      <c r="I106" s="248"/>
      <c r="J106" s="77"/>
      <c r="K106" s="81">
        <f t="shared" ref="K106:K112" si="2">C106+G106</f>
        <v>0</v>
      </c>
      <c r="L106" s="83">
        <f>П1.6!J124</f>
        <v>0</v>
      </c>
      <c r="M106" s="248"/>
      <c r="N106" s="77"/>
    </row>
    <row r="107" spans="1:14" s="49" customFormat="1" ht="18" customHeight="1">
      <c r="A107" s="79" t="s">
        <v>200</v>
      </c>
      <c r="B107" s="80" t="s">
        <v>201</v>
      </c>
      <c r="C107" s="81">
        <f>C106-C97</f>
        <v>-34018.303000000014</v>
      </c>
      <c r="D107" s="83">
        <f>D106-D97</f>
        <v>-12.559000000000005</v>
      </c>
      <c r="E107" s="82"/>
      <c r="F107" s="96"/>
      <c r="G107" s="81">
        <f>G106-G97</f>
        <v>-41073.486999999994</v>
      </c>
      <c r="H107" s="83">
        <f>H106-H97</f>
        <v>-12.779000000000003</v>
      </c>
      <c r="I107" s="248"/>
      <c r="J107" s="96"/>
      <c r="K107" s="81">
        <f t="shared" si="2"/>
        <v>-75091.790000000008</v>
      </c>
      <c r="L107" s="83">
        <f>L106-L97</f>
        <v>-12.668999999999995</v>
      </c>
      <c r="M107" s="248"/>
      <c r="N107" s="96"/>
    </row>
    <row r="108" spans="1:14" s="49" customFormat="1" ht="18" customHeight="1">
      <c r="A108" s="79" t="s">
        <v>202</v>
      </c>
      <c r="B108" s="80" t="str">
        <f>B98</f>
        <v>ОАО "РЖД"</v>
      </c>
      <c r="C108" s="81">
        <v>0</v>
      </c>
      <c r="D108" s="83">
        <v>0</v>
      </c>
      <c r="E108" s="82"/>
      <c r="F108" s="96"/>
      <c r="G108" s="81">
        <v>0</v>
      </c>
      <c r="H108" s="83">
        <v>0</v>
      </c>
      <c r="I108" s="248"/>
      <c r="J108" s="96"/>
      <c r="K108" s="81">
        <f t="shared" si="2"/>
        <v>0</v>
      </c>
      <c r="L108" s="83">
        <v>0</v>
      </c>
      <c r="M108" s="248"/>
      <c r="N108" s="96"/>
    </row>
    <row r="109" spans="1:14" s="49" customFormat="1" ht="18" customHeight="1">
      <c r="A109" s="79" t="s">
        <v>203</v>
      </c>
      <c r="B109" s="80" t="s">
        <v>204</v>
      </c>
      <c r="C109" s="81">
        <f>C108-C98</f>
        <v>-296.072</v>
      </c>
      <c r="D109" s="83">
        <f>D108-D98</f>
        <v>-0.123</v>
      </c>
      <c r="E109" s="82"/>
      <c r="F109" s="96"/>
      <c r="G109" s="81">
        <f>G108-G98</f>
        <v>-321.22300000000001</v>
      </c>
      <c r="H109" s="83">
        <f>H108-H98</f>
        <v>-0.114</v>
      </c>
      <c r="I109" s="248"/>
      <c r="J109" s="96"/>
      <c r="K109" s="81">
        <f t="shared" si="2"/>
        <v>-617.29500000000007</v>
      </c>
      <c r="L109" s="83">
        <f>L108-L98</f>
        <v>-0.11849999999999999</v>
      </c>
      <c r="M109" s="248"/>
      <c r="N109" s="96"/>
    </row>
    <row r="110" spans="1:14" s="49" customFormat="1" ht="18" customHeight="1">
      <c r="A110" s="79" t="s">
        <v>205</v>
      </c>
      <c r="B110" s="80" t="str">
        <f t="shared" ref="B110:C112" si="3">B34</f>
        <v>ООО "КЭнК"</v>
      </c>
      <c r="C110" s="81">
        <f t="shared" si="3"/>
        <v>29380.892</v>
      </c>
      <c r="D110" s="83">
        <f>D34</f>
        <v>10.592000000000001</v>
      </c>
      <c r="E110" s="82"/>
      <c r="F110" s="96"/>
      <c r="G110" s="81">
        <f>П1.6!C82</f>
        <v>29680.924999999999</v>
      </c>
      <c r="H110" s="83">
        <f>H34</f>
        <v>10.582000000000001</v>
      </c>
      <c r="I110" s="248"/>
      <c r="J110" s="96"/>
      <c r="K110" s="81">
        <f t="shared" si="2"/>
        <v>59061.816999999995</v>
      </c>
      <c r="L110" s="83">
        <f>L34</f>
        <v>10.587000000000002</v>
      </c>
      <c r="M110" s="248"/>
      <c r="N110" s="96"/>
    </row>
    <row r="111" spans="1:14" s="49" customFormat="1" ht="18" customHeight="1">
      <c r="A111" s="79" t="s">
        <v>298</v>
      </c>
      <c r="B111" s="80" t="str">
        <f t="shared" si="3"/>
        <v>ООО "СКЭК"</v>
      </c>
      <c r="C111" s="81">
        <f t="shared" si="3"/>
        <v>2944.0149999999999</v>
      </c>
      <c r="D111" s="83">
        <f>D35</f>
        <v>1.0609999999999999</v>
      </c>
      <c r="E111" s="82"/>
      <c r="F111" s="96"/>
      <c r="G111" s="81">
        <f>П1.6!C84</f>
        <v>3024.7489999999998</v>
      </c>
      <c r="H111" s="83">
        <f>H35</f>
        <v>1.0780000000000001</v>
      </c>
      <c r="I111" s="248"/>
      <c r="J111" s="96"/>
      <c r="K111" s="81">
        <f t="shared" si="2"/>
        <v>5968.7639999999992</v>
      </c>
      <c r="L111" s="83">
        <f>L35</f>
        <v>1.0694999999999999</v>
      </c>
      <c r="M111" s="248"/>
      <c r="N111" s="96"/>
    </row>
    <row r="112" spans="1:14" s="49" customFormat="1" ht="18" hidden="1" customHeight="1">
      <c r="A112" s="79" t="s">
        <v>299</v>
      </c>
      <c r="B112" s="80" t="e">
        <f t="shared" si="3"/>
        <v>#REF!</v>
      </c>
      <c r="C112" s="81">
        <f t="shared" si="3"/>
        <v>0</v>
      </c>
      <c r="D112" s="83" t="e">
        <f>D36</f>
        <v>#REF!</v>
      </c>
      <c r="E112" s="82"/>
      <c r="F112" s="96"/>
      <c r="G112" s="81" t="e">
        <f>П1.6!#REF!</f>
        <v>#REF!</v>
      </c>
      <c r="H112" s="83" t="e">
        <f>H36</f>
        <v>#REF!</v>
      </c>
      <c r="I112" s="248"/>
      <c r="J112" s="96"/>
      <c r="K112" s="81" t="e">
        <f t="shared" si="2"/>
        <v>#REF!</v>
      </c>
      <c r="L112" s="83">
        <f>L36</f>
        <v>0</v>
      </c>
      <c r="M112" s="248"/>
      <c r="N112" s="96"/>
    </row>
    <row r="113" spans="1:14" s="49" customFormat="1" ht="18" hidden="1" customHeight="1">
      <c r="A113" s="79" t="s">
        <v>300</v>
      </c>
      <c r="B113" s="94" t="str">
        <f>B99</f>
        <v>ОАО "КузбассЭлектро"</v>
      </c>
      <c r="C113" s="81"/>
      <c r="D113" s="83"/>
      <c r="E113" s="82"/>
      <c r="F113" s="96"/>
      <c r="G113" s="81"/>
      <c r="H113" s="83"/>
      <c r="I113" s="248"/>
      <c r="J113" s="96"/>
      <c r="K113" s="81"/>
      <c r="L113" s="83"/>
      <c r="M113" s="248"/>
      <c r="N113" s="96"/>
    </row>
    <row r="114" spans="1:14" s="49" customFormat="1" ht="18" hidden="1" customHeight="1">
      <c r="A114" s="79" t="s">
        <v>206</v>
      </c>
      <c r="B114" s="94" t="s">
        <v>207</v>
      </c>
      <c r="C114" s="81"/>
      <c r="D114" s="83"/>
      <c r="E114" s="82"/>
      <c r="F114" s="96"/>
      <c r="G114" s="81"/>
      <c r="H114" s="83"/>
      <c r="I114" s="248"/>
      <c r="J114" s="96"/>
      <c r="K114" s="81"/>
      <c r="L114" s="83"/>
      <c r="M114" s="248"/>
      <c r="N114" s="96"/>
    </row>
    <row r="115" spans="1:14" s="49" customFormat="1" ht="18" customHeight="1">
      <c r="A115" s="103" t="s">
        <v>224</v>
      </c>
      <c r="B115" s="104" t="s">
        <v>225</v>
      </c>
      <c r="C115" s="81"/>
      <c r="D115" s="83"/>
      <c r="E115" s="82"/>
      <c r="F115" s="77"/>
      <c r="G115" s="81"/>
      <c r="H115" s="83"/>
      <c r="I115" s="248"/>
      <c r="J115" s="77"/>
      <c r="K115" s="81"/>
      <c r="L115" s="83"/>
      <c r="M115" s="248"/>
      <c r="N115" s="77"/>
    </row>
    <row r="116" spans="1:14" s="49" customFormat="1" ht="18" customHeight="1">
      <c r="A116" s="103" t="s">
        <v>226</v>
      </c>
      <c r="B116" s="221" t="s">
        <v>185</v>
      </c>
      <c r="C116" s="81">
        <f>C92-C101-C100</f>
        <v>9680.011999999977</v>
      </c>
      <c r="D116" s="83">
        <f>D92-D101-D100</f>
        <v>2.5530000000000102</v>
      </c>
      <c r="E116" s="82"/>
      <c r="F116" s="77"/>
      <c r="G116" s="81">
        <f>G92-G101-G100</f>
        <v>16349.758999999922</v>
      </c>
      <c r="H116" s="83">
        <f>H92-H101-H100</f>
        <v>4.2839999999999918</v>
      </c>
      <c r="I116" s="248"/>
      <c r="J116" s="77"/>
      <c r="K116" s="81">
        <f>C116+G116</f>
        <v>26029.770999999899</v>
      </c>
      <c r="L116" s="83">
        <f>L92-L101-L100</f>
        <v>3.4189999999999903</v>
      </c>
      <c r="M116" s="248"/>
      <c r="N116" s="77"/>
    </row>
    <row r="117" spans="1:14" s="49" customFormat="1" ht="18" customHeight="1">
      <c r="A117" s="103" t="s">
        <v>227</v>
      </c>
      <c r="B117" s="221" t="s">
        <v>187</v>
      </c>
      <c r="C117" s="81"/>
      <c r="D117" s="83"/>
      <c r="E117" s="82"/>
      <c r="F117" s="77"/>
      <c r="G117" s="81"/>
      <c r="H117" s="83"/>
      <c r="I117" s="248"/>
      <c r="J117" s="77"/>
      <c r="K117" s="81"/>
      <c r="L117" s="83"/>
      <c r="M117" s="248"/>
      <c r="N117" s="77"/>
    </row>
    <row r="118" spans="1:14" s="49" customFormat="1" ht="18" customHeight="1">
      <c r="A118" s="103" t="s">
        <v>228</v>
      </c>
      <c r="B118" s="104" t="s">
        <v>229</v>
      </c>
      <c r="C118" s="81">
        <f>П1.4!G7</f>
        <v>11091.870999999996</v>
      </c>
      <c r="D118" s="83">
        <f>П1.5!G7</f>
        <v>2.9040000000000097</v>
      </c>
      <c r="E118" s="82"/>
      <c r="F118" s="77"/>
      <c r="G118" s="81">
        <f>П1.4!L7</f>
        <v>17640.162999999931</v>
      </c>
      <c r="H118" s="83">
        <f>П1.5!L7</f>
        <v>4.6239999999999952</v>
      </c>
      <c r="I118" s="248"/>
      <c r="J118" s="77"/>
      <c r="K118" s="81">
        <f>C118+G118</f>
        <v>28732.033999999927</v>
      </c>
      <c r="L118" s="83">
        <f>П1.5!Q7</f>
        <v>3.7654999999999861</v>
      </c>
      <c r="M118" s="248"/>
      <c r="N118" s="77"/>
    </row>
    <row r="119" spans="1:14" s="84" customFormat="1" ht="18" customHeight="1">
      <c r="A119" s="85"/>
      <c r="B119" s="86" t="s">
        <v>141</v>
      </c>
      <c r="C119" s="87"/>
      <c r="D119" s="90"/>
      <c r="E119" s="88"/>
      <c r="F119" s="89"/>
      <c r="G119" s="87"/>
      <c r="H119" s="90"/>
      <c r="I119" s="249"/>
      <c r="J119" s="89"/>
      <c r="K119" s="87"/>
      <c r="L119" s="90"/>
      <c r="M119" s="249"/>
      <c r="N119" s="89"/>
    </row>
    <row r="120" spans="1:14" s="49" customFormat="1" ht="18" customHeight="1">
      <c r="A120" s="103" t="s">
        <v>230</v>
      </c>
      <c r="B120" s="104" t="s">
        <v>191</v>
      </c>
      <c r="C120" s="81">
        <v>0</v>
      </c>
      <c r="D120" s="83">
        <v>0</v>
      </c>
      <c r="E120" s="82"/>
      <c r="F120" s="77"/>
      <c r="G120" s="81">
        <v>0</v>
      </c>
      <c r="H120" s="83">
        <v>0</v>
      </c>
      <c r="I120" s="248"/>
      <c r="J120" s="77"/>
      <c r="K120" s="81">
        <f>C120+G120</f>
        <v>0</v>
      </c>
      <c r="L120" s="83">
        <v>0</v>
      </c>
      <c r="M120" s="248"/>
      <c r="N120" s="77"/>
    </row>
    <row r="121" spans="1:14" s="49" customFormat="1" ht="18" customHeight="1">
      <c r="A121" s="103" t="s">
        <v>231</v>
      </c>
      <c r="B121" s="104" t="s">
        <v>140</v>
      </c>
      <c r="C121" s="81">
        <f>C118</f>
        <v>11091.870999999996</v>
      </c>
      <c r="D121" s="83">
        <f>D118</f>
        <v>2.9040000000000097</v>
      </c>
      <c r="E121" s="82"/>
      <c r="F121" s="77"/>
      <c r="G121" s="81">
        <f>G118</f>
        <v>17640.162999999931</v>
      </c>
      <c r="H121" s="83">
        <f>H118</f>
        <v>4.6239999999999952</v>
      </c>
      <c r="I121" s="248"/>
      <c r="J121" s="77"/>
      <c r="K121" s="81">
        <f>C121+G121</f>
        <v>28732.033999999927</v>
      </c>
      <c r="L121" s="83">
        <f>L118</f>
        <v>3.7654999999999861</v>
      </c>
      <c r="M121" s="248"/>
      <c r="N121" s="77"/>
    </row>
    <row r="122" spans="1:14" s="84" customFormat="1" ht="18" customHeight="1">
      <c r="A122" s="85"/>
      <c r="B122" s="86" t="s">
        <v>141</v>
      </c>
      <c r="C122" s="87"/>
      <c r="D122" s="90"/>
      <c r="E122" s="88"/>
      <c r="F122" s="89"/>
      <c r="G122" s="87"/>
      <c r="H122" s="90"/>
      <c r="I122" s="249"/>
      <c r="J122" s="89"/>
      <c r="K122" s="87"/>
      <c r="L122" s="90"/>
      <c r="M122" s="249"/>
      <c r="N122" s="89"/>
    </row>
    <row r="123" spans="1:14" s="49" customFormat="1" ht="18" customHeight="1">
      <c r="A123" s="79" t="s">
        <v>232</v>
      </c>
      <c r="B123" s="80" t="str">
        <f>B106</f>
        <v>ПАО "Россети Сибирь"-"Кузбассэнерго-РЭС"</v>
      </c>
      <c r="C123" s="81">
        <f>C121-C124-C125</f>
        <v>923.93600000001788</v>
      </c>
      <c r="D123" s="83">
        <f>D121-D124-D125</f>
        <v>0.23099999999999943</v>
      </c>
      <c r="E123" s="82"/>
      <c r="F123" s="77"/>
      <c r="G123" s="81">
        <f>G121-G124-G125</f>
        <v>878.73500000000786</v>
      </c>
      <c r="H123" s="83">
        <f>H121-H124-H125</f>
        <v>0.23400000000000354</v>
      </c>
      <c r="I123" s="248"/>
      <c r="J123" s="77"/>
      <c r="K123" s="81">
        <f>C123+G123</f>
        <v>1802.6710000000257</v>
      </c>
      <c r="L123" s="83">
        <f>L121-L124-L125</f>
        <v>0.23349999999999582</v>
      </c>
      <c r="M123" s="248"/>
      <c r="N123" s="307"/>
    </row>
    <row r="124" spans="1:14" s="49" customFormat="1" ht="18" customHeight="1">
      <c r="A124" s="79" t="s">
        <v>233</v>
      </c>
      <c r="B124" s="80" t="str">
        <f>B30</f>
        <v>АО "ЭнергоПаритет"</v>
      </c>
      <c r="C124" s="81">
        <f>C15</f>
        <v>487.923</v>
      </c>
      <c r="D124" s="83">
        <f>D15</f>
        <v>0.12</v>
      </c>
      <c r="E124" s="82"/>
      <c r="F124" s="77"/>
      <c r="G124" s="81">
        <f>G15</f>
        <v>411.66899999999998</v>
      </c>
      <c r="H124" s="83">
        <f>H15</f>
        <v>0.106</v>
      </c>
      <c r="I124" s="248"/>
      <c r="J124" s="77"/>
      <c r="K124" s="81">
        <f>C124+G124</f>
        <v>899.59199999999998</v>
      </c>
      <c r="L124" s="83">
        <f>L15</f>
        <v>0.11299999999999999</v>
      </c>
      <c r="M124" s="248"/>
      <c r="N124" s="77"/>
    </row>
    <row r="125" spans="1:14" s="49" customFormat="1" ht="18" customHeight="1">
      <c r="A125" s="79" t="s">
        <v>234</v>
      </c>
      <c r="B125" s="80" t="str">
        <f>B113</f>
        <v>ОАО "КузбассЭлектро"</v>
      </c>
      <c r="C125" s="81">
        <f>C116</f>
        <v>9680.011999999977</v>
      </c>
      <c r="D125" s="83">
        <f>D116</f>
        <v>2.5530000000000102</v>
      </c>
      <c r="E125" s="82"/>
      <c r="F125" s="77"/>
      <c r="G125" s="81">
        <f>G116</f>
        <v>16349.758999999922</v>
      </c>
      <c r="H125" s="83">
        <f>H116</f>
        <v>4.2839999999999918</v>
      </c>
      <c r="I125" s="248"/>
      <c r="J125" s="77"/>
      <c r="K125" s="81">
        <f>C125+G125</f>
        <v>26029.770999999899</v>
      </c>
      <c r="L125" s="83">
        <f>L116</f>
        <v>3.4189999999999903</v>
      </c>
      <c r="M125" s="248"/>
      <c r="N125" s="77"/>
    </row>
    <row r="126" spans="1:14" s="49" customFormat="1" ht="18" customHeight="1">
      <c r="A126" s="103" t="s">
        <v>235</v>
      </c>
      <c r="B126" s="104" t="s">
        <v>168</v>
      </c>
      <c r="C126" s="81">
        <f>П1.4!G22</f>
        <v>12.57</v>
      </c>
      <c r="D126" s="83">
        <f>П1.5!G22</f>
        <v>4.0000000000000001E-3</v>
      </c>
      <c r="E126" s="82"/>
      <c r="F126" s="77"/>
      <c r="G126" s="81">
        <f>П1.4!L22</f>
        <v>11.964</v>
      </c>
      <c r="H126" s="83">
        <f>П1.5!L22</f>
        <v>3.0000000000000001E-3</v>
      </c>
      <c r="I126" s="248"/>
      <c r="J126" s="77"/>
      <c r="K126" s="81">
        <f>C126+G126</f>
        <v>24.533999999999999</v>
      </c>
      <c r="L126" s="83">
        <f>П1.5!Q22</f>
        <v>4.0000000000000001E-3</v>
      </c>
      <c r="M126" s="248"/>
      <c r="N126" s="77"/>
    </row>
    <row r="127" spans="1:14" s="49" customFormat="1" ht="18" customHeight="1">
      <c r="A127" s="103" t="s">
        <v>236</v>
      </c>
      <c r="B127" s="104" t="s">
        <v>170</v>
      </c>
      <c r="C127" s="81">
        <f>C121-C126</f>
        <v>11079.300999999996</v>
      </c>
      <c r="D127" s="83">
        <f>D121-D126</f>
        <v>2.9000000000000097</v>
      </c>
      <c r="E127" s="82"/>
      <c r="F127" s="77"/>
      <c r="G127" s="81">
        <f>G121-G126</f>
        <v>17628.198999999931</v>
      </c>
      <c r="H127" s="83">
        <f>H121-H126</f>
        <v>4.6209999999999951</v>
      </c>
      <c r="I127" s="248"/>
      <c r="J127" s="77"/>
      <c r="K127" s="81">
        <f>C127+G127</f>
        <v>28707.499999999927</v>
      </c>
      <c r="L127" s="83">
        <f>L121-L126</f>
        <v>3.7614999999999861</v>
      </c>
      <c r="M127" s="248"/>
      <c r="N127" s="77"/>
    </row>
    <row r="128" spans="1:14" s="84" customFormat="1" ht="18" customHeight="1">
      <c r="A128" s="85"/>
      <c r="B128" s="86" t="s">
        <v>148</v>
      </c>
      <c r="C128" s="87"/>
      <c r="D128" s="90"/>
      <c r="E128" s="88"/>
      <c r="F128" s="89"/>
      <c r="G128" s="87"/>
      <c r="H128" s="90"/>
      <c r="I128" s="249"/>
      <c r="J128" s="89"/>
      <c r="K128" s="88"/>
      <c r="L128" s="90"/>
      <c r="M128" s="249"/>
      <c r="N128" s="89"/>
    </row>
    <row r="129" spans="1:14" s="49" customFormat="1" ht="18" customHeight="1">
      <c r="A129" s="103" t="s">
        <v>237</v>
      </c>
      <c r="B129" s="104" t="s">
        <v>150</v>
      </c>
      <c r="C129" s="81">
        <f>П1.4!G32</f>
        <v>10838.475</v>
      </c>
      <c r="D129" s="83">
        <f>П1.5!G32</f>
        <v>2.8090000000000002</v>
      </c>
      <c r="E129" s="82"/>
      <c r="F129" s="77"/>
      <c r="G129" s="81">
        <f>П1.4!L32</f>
        <v>17234.46</v>
      </c>
      <c r="H129" s="83">
        <f>П1.5!L32</f>
        <v>4.4870000000000001</v>
      </c>
      <c r="I129" s="248"/>
      <c r="J129" s="77"/>
      <c r="K129" s="81">
        <f>C129+G129</f>
        <v>28072.934999999998</v>
      </c>
      <c r="L129" s="83">
        <f>П1.5!Q32</f>
        <v>3.6480000000000001</v>
      </c>
      <c r="M129" s="248"/>
      <c r="N129" s="77"/>
    </row>
    <row r="130" spans="1:14" s="49" customFormat="1" ht="18" customHeight="1">
      <c r="A130" s="103" t="s">
        <v>238</v>
      </c>
      <c r="B130" s="104" t="s">
        <v>152</v>
      </c>
      <c r="C130" s="81">
        <f>C127-C129</f>
        <v>240.82599999999547</v>
      </c>
      <c r="D130" s="83">
        <f>D127-D129</f>
        <v>9.1000000000009518E-2</v>
      </c>
      <c r="E130" s="82"/>
      <c r="F130" s="77"/>
      <c r="G130" s="81">
        <f>G118-G129-G126</f>
        <v>393.73899999993222</v>
      </c>
      <c r="H130" s="83">
        <f>H127-H129</f>
        <v>0.13399999999999501</v>
      </c>
      <c r="I130" s="248"/>
      <c r="J130" s="77"/>
      <c r="K130" s="81">
        <f>C130+G130</f>
        <v>634.56499999992775</v>
      </c>
      <c r="L130" s="83">
        <f>L127-L129</f>
        <v>0.11349999999998595</v>
      </c>
      <c r="M130" s="248"/>
      <c r="N130" s="77"/>
    </row>
    <row r="131" spans="1:14" s="84" customFormat="1" ht="18" customHeight="1">
      <c r="A131" s="85"/>
      <c r="B131" s="86" t="s">
        <v>153</v>
      </c>
      <c r="C131" s="87"/>
      <c r="D131" s="90"/>
      <c r="E131" s="88"/>
      <c r="F131" s="89"/>
      <c r="G131" s="87"/>
      <c r="H131" s="90"/>
      <c r="I131" s="249"/>
      <c r="J131" s="89"/>
      <c r="K131" s="87"/>
      <c r="L131" s="90"/>
      <c r="M131" s="249"/>
      <c r="N131" s="89"/>
    </row>
    <row r="132" spans="1:14" s="49" customFormat="1" ht="18" customHeight="1">
      <c r="A132" s="79" t="s">
        <v>239</v>
      </c>
      <c r="B132" s="80" t="str">
        <f>B123</f>
        <v>ПАО "Россети Сибирь"-"Кузбассэнерго-РЭС"</v>
      </c>
      <c r="C132" s="81">
        <f>C26</f>
        <v>72.715999999999994</v>
      </c>
      <c r="D132" s="81">
        <f>D26</f>
        <v>2.1000000000000001E-2</v>
      </c>
      <c r="E132" s="82"/>
      <c r="F132" s="96"/>
      <c r="G132" s="81">
        <f>G26</f>
        <v>204.85599999999999</v>
      </c>
      <c r="H132" s="81">
        <f>H26</f>
        <v>5.8000000000000003E-2</v>
      </c>
      <c r="I132" s="248"/>
      <c r="J132" s="96"/>
      <c r="K132" s="81">
        <f>K26</f>
        <v>277.572</v>
      </c>
      <c r="L132" s="81">
        <f>L26</f>
        <v>3.95E-2</v>
      </c>
      <c r="M132" s="248"/>
      <c r="N132" s="96"/>
    </row>
    <row r="133" spans="1:14" s="49" customFormat="1" ht="18" customHeight="1">
      <c r="A133" s="79" t="s">
        <v>240</v>
      </c>
      <c r="B133" s="80" t="s">
        <v>201</v>
      </c>
      <c r="C133" s="81">
        <f>C132-C123</f>
        <v>-851.22000000001788</v>
      </c>
      <c r="D133" s="83">
        <f>D132-D123</f>
        <v>-0.20999999999999944</v>
      </c>
      <c r="E133" s="82"/>
      <c r="F133" s="96"/>
      <c r="G133" s="81">
        <f>G132-G123</f>
        <v>-673.87900000000786</v>
      </c>
      <c r="H133" s="83">
        <f>H132-H123</f>
        <v>-0.17600000000000354</v>
      </c>
      <c r="I133" s="248"/>
      <c r="J133" s="96"/>
      <c r="K133" s="81">
        <f>C133+G133</f>
        <v>-1525.0990000000256</v>
      </c>
      <c r="L133" s="83">
        <f>L132-L123</f>
        <v>-0.19399999999999581</v>
      </c>
      <c r="M133" s="248"/>
      <c r="N133" s="96"/>
    </row>
    <row r="134" spans="1:14" s="49" customFormat="1" ht="18" customHeight="1">
      <c r="A134" s="79" t="s">
        <v>241</v>
      </c>
      <c r="B134" s="80" t="str">
        <f>B124</f>
        <v>АО "ЭнергоПаритет"</v>
      </c>
      <c r="C134" s="81">
        <v>0</v>
      </c>
      <c r="D134" s="83">
        <v>0</v>
      </c>
      <c r="E134" s="82"/>
      <c r="F134" s="96"/>
      <c r="G134" s="81">
        <v>0</v>
      </c>
      <c r="H134" s="83">
        <v>0</v>
      </c>
      <c r="I134" s="248"/>
      <c r="J134" s="96"/>
      <c r="K134" s="81">
        <f>C134+G134</f>
        <v>0</v>
      </c>
      <c r="L134" s="83">
        <v>0</v>
      </c>
      <c r="M134" s="248"/>
      <c r="N134" s="96"/>
    </row>
    <row r="135" spans="1:14" s="49" customFormat="1" ht="18" customHeight="1">
      <c r="A135" s="79" t="s">
        <v>242</v>
      </c>
      <c r="B135" s="80" t="s">
        <v>204</v>
      </c>
      <c r="C135" s="81">
        <f>C134-C124</f>
        <v>-487.923</v>
      </c>
      <c r="D135" s="83">
        <f>D134-D124</f>
        <v>-0.12</v>
      </c>
      <c r="E135" s="82"/>
      <c r="F135" s="96"/>
      <c r="G135" s="81">
        <f>G134-G124</f>
        <v>-411.66899999999998</v>
      </c>
      <c r="H135" s="83">
        <f>H134-H124</f>
        <v>-0.106</v>
      </c>
      <c r="I135" s="248"/>
      <c r="J135" s="96"/>
      <c r="K135" s="81">
        <f>C135+G135</f>
        <v>-899.59199999999998</v>
      </c>
      <c r="L135" s="83">
        <f>L134-L124</f>
        <v>-0.11299999999999999</v>
      </c>
      <c r="M135" s="248"/>
      <c r="N135" s="96"/>
    </row>
    <row r="136" spans="1:14" s="49" customFormat="1" ht="18" customHeight="1">
      <c r="A136" s="79" t="s">
        <v>243</v>
      </c>
      <c r="B136" s="94" t="s">
        <v>277</v>
      </c>
      <c r="C136" s="81">
        <f>П1.4!G28</f>
        <v>168.11</v>
      </c>
      <c r="D136" s="83">
        <f>П1.5!G28</f>
        <v>7.0000000000000007E-2</v>
      </c>
      <c r="E136" s="82"/>
      <c r="F136" s="77"/>
      <c r="G136" s="81">
        <f>П1.4!L28</f>
        <v>188.88300000000001</v>
      </c>
      <c r="H136" s="83">
        <f>H37-H87</f>
        <v>7.6000000000000012E-2</v>
      </c>
      <c r="I136" s="248"/>
      <c r="J136" s="77"/>
      <c r="K136" s="81">
        <f>C136+G136</f>
        <v>356.99300000000005</v>
      </c>
      <c r="L136" s="83">
        <f>L37-L87</f>
        <v>7.3000000000000009E-2</v>
      </c>
      <c r="M136" s="248"/>
      <c r="N136" s="77"/>
    </row>
    <row r="137" spans="1:14" s="49" customFormat="1" ht="18" customHeight="1">
      <c r="A137" s="103" t="s">
        <v>244</v>
      </c>
      <c r="B137" s="104" t="s">
        <v>245</v>
      </c>
      <c r="C137" s="105"/>
      <c r="D137" s="228"/>
      <c r="E137" s="95"/>
      <c r="F137" s="77"/>
      <c r="G137" s="105"/>
      <c r="H137" s="228"/>
      <c r="I137" s="250"/>
      <c r="J137" s="77"/>
      <c r="K137" s="105"/>
      <c r="L137" s="228"/>
      <c r="M137" s="250"/>
      <c r="N137" s="77"/>
    </row>
    <row r="138" spans="1:14" s="49" customFormat="1" ht="18" customHeight="1">
      <c r="A138" s="103" t="s">
        <v>246</v>
      </c>
      <c r="B138" s="221" t="s">
        <v>187</v>
      </c>
      <c r="C138" s="105"/>
      <c r="D138" s="83"/>
      <c r="E138" s="95"/>
      <c r="F138" s="77"/>
      <c r="G138" s="105"/>
      <c r="H138" s="83"/>
      <c r="I138" s="248"/>
      <c r="J138" s="77"/>
      <c r="K138" s="106"/>
      <c r="L138" s="82"/>
      <c r="M138" s="240"/>
      <c r="N138" s="77"/>
    </row>
    <row r="139" spans="1:14" s="49" customFormat="1" ht="18" customHeight="1">
      <c r="A139" s="103" t="s">
        <v>247</v>
      </c>
      <c r="B139" s="104" t="s">
        <v>248</v>
      </c>
      <c r="C139" s="105"/>
      <c r="D139" s="228"/>
      <c r="E139" s="95"/>
      <c r="F139" s="77"/>
      <c r="G139" s="105"/>
      <c r="H139" s="228"/>
      <c r="I139" s="250"/>
      <c r="J139" s="77"/>
      <c r="K139" s="106"/>
      <c r="L139" s="92"/>
      <c r="M139" s="251"/>
      <c r="N139" s="77"/>
    </row>
    <row r="140" spans="1:14" s="84" customFormat="1" ht="18" customHeight="1">
      <c r="A140" s="85"/>
      <c r="B140" s="86" t="s">
        <v>141</v>
      </c>
      <c r="C140" s="87"/>
      <c r="D140" s="90"/>
      <c r="E140" s="88"/>
      <c r="F140" s="89"/>
      <c r="G140" s="90"/>
      <c r="H140" s="88"/>
      <c r="I140" s="249"/>
      <c r="J140" s="89"/>
      <c r="K140" s="90"/>
      <c r="L140" s="88"/>
      <c r="M140" s="249"/>
      <c r="N140" s="89"/>
    </row>
    <row r="141" spans="1:14" s="49" customFormat="1" ht="18" customHeight="1">
      <c r="A141" s="103" t="s">
        <v>249</v>
      </c>
      <c r="B141" s="104" t="s">
        <v>191</v>
      </c>
      <c r="C141" s="105"/>
      <c r="D141" s="228"/>
      <c r="E141" s="95"/>
      <c r="F141" s="77"/>
      <c r="G141" s="106"/>
      <c r="H141" s="92"/>
      <c r="I141" s="251"/>
      <c r="J141" s="77"/>
      <c r="K141" s="106"/>
      <c r="L141" s="92"/>
      <c r="M141" s="251"/>
      <c r="N141" s="77"/>
    </row>
    <row r="142" spans="1:14" s="49" customFormat="1" ht="18" customHeight="1">
      <c r="A142" s="103" t="s">
        <v>250</v>
      </c>
      <c r="B142" s="104" t="s">
        <v>140</v>
      </c>
      <c r="C142" s="105"/>
      <c r="D142" s="228"/>
      <c r="E142" s="95"/>
      <c r="F142" s="77"/>
      <c r="G142" s="106"/>
      <c r="H142" s="92"/>
      <c r="I142" s="251"/>
      <c r="J142" s="77"/>
      <c r="K142" s="106"/>
      <c r="L142" s="92"/>
      <c r="M142" s="251"/>
      <c r="N142" s="77"/>
    </row>
    <row r="143" spans="1:14" s="84" customFormat="1" ht="18" customHeight="1">
      <c r="A143" s="85"/>
      <c r="B143" s="86" t="s">
        <v>141</v>
      </c>
      <c r="C143" s="87"/>
      <c r="D143" s="90"/>
      <c r="E143" s="88"/>
      <c r="F143" s="89"/>
      <c r="G143" s="90"/>
      <c r="H143" s="88"/>
      <c r="I143" s="249"/>
      <c r="J143" s="89"/>
      <c r="K143" s="90"/>
      <c r="L143" s="88"/>
      <c r="M143" s="249"/>
      <c r="N143" s="89"/>
    </row>
    <row r="144" spans="1:14" s="49" customFormat="1" ht="18" customHeight="1">
      <c r="A144" s="79" t="s">
        <v>251</v>
      </c>
      <c r="B144" s="80" t="s">
        <v>142</v>
      </c>
      <c r="C144" s="105"/>
      <c r="D144" s="228"/>
      <c r="E144" s="95"/>
      <c r="F144" s="77"/>
      <c r="G144" s="106"/>
      <c r="H144" s="92"/>
      <c r="I144" s="251"/>
      <c r="J144" s="77"/>
      <c r="K144" s="106"/>
      <c r="L144" s="92"/>
      <c r="M144" s="251"/>
      <c r="N144" s="77"/>
    </row>
    <row r="145" spans="1:14" s="49" customFormat="1" ht="18" customHeight="1">
      <c r="A145" s="79" t="s">
        <v>252</v>
      </c>
      <c r="B145" s="80" t="s">
        <v>143</v>
      </c>
      <c r="C145" s="105"/>
      <c r="D145" s="228"/>
      <c r="E145" s="95"/>
      <c r="F145" s="77"/>
      <c r="G145" s="106"/>
      <c r="H145" s="92"/>
      <c r="I145" s="251"/>
      <c r="J145" s="77"/>
      <c r="K145" s="106"/>
      <c r="L145" s="92"/>
      <c r="M145" s="251"/>
      <c r="N145" s="77"/>
    </row>
    <row r="146" spans="1:14" s="49" customFormat="1" ht="18" customHeight="1">
      <c r="A146" s="79"/>
      <c r="B146" s="80" t="s">
        <v>166</v>
      </c>
      <c r="C146" s="105"/>
      <c r="D146" s="228"/>
      <c r="E146" s="95"/>
      <c r="F146" s="77"/>
      <c r="G146" s="106"/>
      <c r="H146" s="92"/>
      <c r="I146" s="251"/>
      <c r="J146" s="77"/>
      <c r="K146" s="106"/>
      <c r="L146" s="92"/>
      <c r="M146" s="251"/>
      <c r="N146" s="77"/>
    </row>
    <row r="147" spans="1:14" s="49" customFormat="1" ht="18" customHeight="1">
      <c r="A147" s="103" t="s">
        <v>253</v>
      </c>
      <c r="B147" s="104" t="s">
        <v>168</v>
      </c>
      <c r="C147" s="105"/>
      <c r="D147" s="228"/>
      <c r="E147" s="95"/>
      <c r="F147" s="77"/>
      <c r="G147" s="106"/>
      <c r="H147" s="92"/>
      <c r="I147" s="251"/>
      <c r="J147" s="77"/>
      <c r="K147" s="106"/>
      <c r="L147" s="92"/>
      <c r="M147" s="251"/>
      <c r="N147" s="77"/>
    </row>
    <row r="148" spans="1:14" s="49" customFormat="1" ht="18" customHeight="1">
      <c r="A148" s="103" t="s">
        <v>254</v>
      </c>
      <c r="B148" s="104" t="s">
        <v>170</v>
      </c>
      <c r="C148" s="105"/>
      <c r="D148" s="228"/>
      <c r="E148" s="95"/>
      <c r="F148" s="77"/>
      <c r="G148" s="106"/>
      <c r="H148" s="92"/>
      <c r="I148" s="251"/>
      <c r="J148" s="77"/>
      <c r="K148" s="106"/>
      <c r="L148" s="92"/>
      <c r="M148" s="251"/>
      <c r="N148" s="77"/>
    </row>
    <row r="149" spans="1:14" s="84" customFormat="1" ht="18" customHeight="1">
      <c r="A149" s="85"/>
      <c r="B149" s="86" t="s">
        <v>148</v>
      </c>
      <c r="C149" s="87"/>
      <c r="D149" s="90"/>
      <c r="E149" s="88"/>
      <c r="F149" s="89"/>
      <c r="G149" s="90"/>
      <c r="H149" s="88"/>
      <c r="I149" s="249"/>
      <c r="J149" s="89"/>
      <c r="K149" s="90"/>
      <c r="L149" s="88"/>
      <c r="M149" s="249"/>
      <c r="N149" s="89"/>
    </row>
    <row r="150" spans="1:14" s="49" customFormat="1" ht="18" customHeight="1">
      <c r="A150" s="103" t="s">
        <v>255</v>
      </c>
      <c r="B150" s="104" t="s">
        <v>150</v>
      </c>
      <c r="C150" s="105"/>
      <c r="D150" s="228"/>
      <c r="E150" s="95"/>
      <c r="F150" s="77"/>
      <c r="G150" s="106"/>
      <c r="H150" s="92"/>
      <c r="I150" s="251"/>
      <c r="J150" s="77"/>
      <c r="K150" s="106"/>
      <c r="L150" s="92"/>
      <c r="M150" s="251"/>
      <c r="N150" s="77"/>
    </row>
    <row r="151" spans="1:14" s="49" customFormat="1" ht="18" customHeight="1">
      <c r="A151" s="103" t="s">
        <v>256</v>
      </c>
      <c r="B151" s="104" t="s">
        <v>152</v>
      </c>
      <c r="C151" s="105"/>
      <c r="D151" s="92"/>
      <c r="E151" s="95"/>
      <c r="F151" s="77"/>
      <c r="G151" s="106"/>
      <c r="H151" s="92"/>
      <c r="I151" s="251"/>
      <c r="J151" s="77"/>
      <c r="K151" s="106"/>
      <c r="L151" s="92"/>
      <c r="M151" s="251"/>
      <c r="N151" s="77"/>
    </row>
    <row r="152" spans="1:14" s="84" customFormat="1" ht="18" customHeight="1">
      <c r="A152" s="85"/>
      <c r="B152" s="86" t="s">
        <v>153</v>
      </c>
      <c r="C152" s="87"/>
      <c r="D152" s="88"/>
      <c r="E152" s="88"/>
      <c r="F152" s="89"/>
      <c r="G152" s="90"/>
      <c r="H152" s="88"/>
      <c r="I152" s="249"/>
      <c r="J152" s="89"/>
      <c r="K152" s="90"/>
      <c r="L152" s="88"/>
      <c r="M152" s="249"/>
      <c r="N152" s="89"/>
    </row>
    <row r="153" spans="1:14" s="49" customFormat="1" ht="18" customHeight="1">
      <c r="A153" s="79" t="s">
        <v>257</v>
      </c>
      <c r="B153" s="80" t="s">
        <v>142</v>
      </c>
      <c r="C153" s="105"/>
      <c r="D153" s="92"/>
      <c r="E153" s="95"/>
      <c r="F153" s="77"/>
      <c r="G153" s="106"/>
      <c r="H153" s="92"/>
      <c r="I153" s="251"/>
      <c r="J153" s="77"/>
      <c r="K153" s="106"/>
      <c r="L153" s="92"/>
      <c r="M153" s="251"/>
      <c r="N153" s="77"/>
    </row>
    <row r="154" spans="1:14" s="49" customFormat="1" ht="18" customHeight="1">
      <c r="A154" s="79" t="s">
        <v>258</v>
      </c>
      <c r="B154" s="80" t="s">
        <v>259</v>
      </c>
      <c r="C154" s="105"/>
      <c r="D154" s="92"/>
      <c r="E154" s="95"/>
      <c r="F154" s="77"/>
      <c r="G154" s="106"/>
      <c r="H154" s="92"/>
      <c r="I154" s="251"/>
      <c r="J154" s="77"/>
      <c r="K154" s="106"/>
      <c r="L154" s="92"/>
      <c r="M154" s="251"/>
      <c r="N154" s="77"/>
    </row>
    <row r="155" spans="1:14" s="49" customFormat="1" ht="18" customHeight="1">
      <c r="A155" s="79" t="s">
        <v>260</v>
      </c>
      <c r="B155" s="80" t="s">
        <v>143</v>
      </c>
      <c r="C155" s="105"/>
      <c r="D155" s="92"/>
      <c r="E155" s="95"/>
      <c r="F155" s="77"/>
      <c r="G155" s="106"/>
      <c r="H155" s="92"/>
      <c r="I155" s="251"/>
      <c r="J155" s="77"/>
      <c r="K155" s="106"/>
      <c r="L155" s="92"/>
      <c r="M155" s="251"/>
      <c r="N155" s="77"/>
    </row>
    <row r="156" spans="1:14" s="49" customFormat="1" ht="18" customHeight="1">
      <c r="A156" s="79" t="s">
        <v>261</v>
      </c>
      <c r="B156" s="80" t="s">
        <v>262</v>
      </c>
      <c r="C156" s="105"/>
      <c r="D156" s="92"/>
      <c r="E156" s="95"/>
      <c r="F156" s="77"/>
      <c r="G156" s="106"/>
      <c r="H156" s="92"/>
      <c r="I156" s="251"/>
      <c r="J156" s="77"/>
      <c r="K156" s="106"/>
      <c r="L156" s="92"/>
      <c r="M156" s="251"/>
      <c r="N156" s="77"/>
    </row>
    <row r="157" spans="1:14" s="49" customFormat="1" ht="18" customHeight="1" thickBot="1">
      <c r="A157" s="107"/>
      <c r="B157" s="108" t="s">
        <v>166</v>
      </c>
      <c r="C157" s="109"/>
      <c r="D157" s="111"/>
      <c r="E157" s="110"/>
      <c r="F157" s="112"/>
      <c r="G157" s="113"/>
      <c r="H157" s="111"/>
      <c r="I157" s="252"/>
      <c r="J157" s="112"/>
      <c r="K157" s="113"/>
      <c r="L157" s="111"/>
      <c r="M157" s="252"/>
      <c r="N157" s="112"/>
    </row>
    <row r="158" spans="1:14" s="49" customFormat="1">
      <c r="A158" s="114"/>
      <c r="B158" s="115"/>
      <c r="C158" s="116"/>
      <c r="G158" s="116"/>
      <c r="K158" s="116"/>
    </row>
    <row r="159" spans="1:14" s="49" customFormat="1">
      <c r="A159" s="117"/>
      <c r="B159" s="115"/>
      <c r="C159" s="116"/>
      <c r="G159" s="116"/>
      <c r="K159" s="116"/>
    </row>
    <row r="160" spans="1:14" s="49" customFormat="1">
      <c r="A160" s="114"/>
      <c r="B160" s="115"/>
      <c r="C160" s="116"/>
      <c r="G160" s="116"/>
      <c r="K160" s="116"/>
    </row>
    <row r="161" spans="1:11" s="49" customFormat="1">
      <c r="A161" s="114"/>
      <c r="B161" s="115"/>
      <c r="C161" s="116"/>
      <c r="G161" s="116"/>
      <c r="K161" s="116"/>
    </row>
    <row r="162" spans="1:11" s="49" customFormat="1">
      <c r="A162" s="114"/>
      <c r="B162" s="115"/>
      <c r="C162" s="116"/>
      <c r="G162" s="116"/>
      <c r="K162" s="116"/>
    </row>
    <row r="163" spans="1:11" s="49" customFormat="1">
      <c r="A163" s="114"/>
      <c r="B163" s="115"/>
      <c r="C163" s="116"/>
      <c r="G163" s="116"/>
      <c r="K163" s="116"/>
    </row>
    <row r="164" spans="1:11" s="49" customFormat="1">
      <c r="A164" s="114"/>
      <c r="B164" s="115"/>
      <c r="C164" s="116"/>
      <c r="G164" s="116"/>
      <c r="K164" s="116"/>
    </row>
    <row r="165" spans="1:11" s="49" customFormat="1">
      <c r="A165" s="114"/>
      <c r="B165" s="115"/>
      <c r="C165" s="116"/>
      <c r="G165" s="116"/>
      <c r="K165" s="116"/>
    </row>
    <row r="166" spans="1:11" s="49" customFormat="1">
      <c r="A166" s="114"/>
      <c r="B166" s="115"/>
      <c r="C166" s="116"/>
      <c r="G166" s="116"/>
      <c r="K166" s="116"/>
    </row>
    <row r="167" spans="1:11" s="49" customFormat="1">
      <c r="A167" s="114"/>
      <c r="B167" s="115"/>
      <c r="C167" s="116"/>
      <c r="G167" s="116"/>
      <c r="K167" s="116"/>
    </row>
    <row r="168" spans="1:11" s="49" customFormat="1">
      <c r="A168" s="114"/>
      <c r="B168" s="115"/>
      <c r="C168" s="116"/>
      <c r="G168" s="116"/>
      <c r="K168" s="116"/>
    </row>
    <row r="169" spans="1:11" s="49" customFormat="1">
      <c r="A169" s="114"/>
      <c r="B169" s="115"/>
      <c r="C169" s="116"/>
      <c r="G169" s="116"/>
      <c r="K169" s="116"/>
    </row>
    <row r="170" spans="1:11" s="49" customFormat="1">
      <c r="A170" s="114"/>
      <c r="B170" s="115"/>
      <c r="C170" s="116"/>
      <c r="G170" s="116"/>
      <c r="K170" s="116"/>
    </row>
    <row r="171" spans="1:11" s="49" customFormat="1">
      <c r="A171" s="114"/>
      <c r="B171" s="115"/>
      <c r="C171" s="116"/>
      <c r="G171" s="116"/>
      <c r="K171" s="116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59" max="13" man="1"/>
    <brk id="11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7" zoomScale="85" zoomScaleNormal="100" zoomScaleSheetLayoutView="85" workbookViewId="0">
      <pane xSplit="2" topLeftCell="C1" activePane="topRight" state="frozen"/>
      <selection activeCell="L53" sqref="L53"/>
      <selection pane="topRight" activeCell="L53" sqref="L53"/>
    </sheetView>
  </sheetViews>
  <sheetFormatPr defaultColWidth="9.140625" defaultRowHeight="12.75"/>
  <cols>
    <col min="1" max="1" width="10.42578125" style="121" customWidth="1"/>
    <col min="2" max="2" width="13.7109375" style="157" customWidth="1"/>
    <col min="3" max="3" width="11.85546875" style="157" customWidth="1"/>
    <col min="4" max="4" width="14.5703125" style="121" customWidth="1"/>
    <col min="5" max="5" width="21.140625" style="125" customWidth="1"/>
    <col min="6" max="6" width="14.5703125" style="121" customWidth="1"/>
    <col min="7" max="7" width="14.140625" style="121" customWidth="1"/>
    <col min="8" max="8" width="12.28515625" style="121" hidden="1" customWidth="1"/>
    <col min="9" max="16384" width="9.140625" style="121"/>
  </cols>
  <sheetData>
    <row r="1" spans="1:8" hidden="1">
      <c r="F1" s="386" t="s">
        <v>319</v>
      </c>
      <c r="G1" s="386"/>
    </row>
    <row r="2" spans="1:8" hidden="1">
      <c r="E2" s="387" t="s">
        <v>320</v>
      </c>
      <c r="F2" s="387"/>
      <c r="G2" s="387"/>
    </row>
    <row r="3" spans="1:8" ht="18.75">
      <c r="B3" s="122"/>
      <c r="C3" s="122"/>
      <c r="E3" s="123"/>
      <c r="F3" s="388" t="s">
        <v>263</v>
      </c>
      <c r="G3" s="389"/>
    </row>
    <row r="4" spans="1:8" ht="81.75" customHeight="1">
      <c r="A4" s="390" t="s">
        <v>24</v>
      </c>
      <c r="B4" s="391"/>
      <c r="C4" s="391"/>
      <c r="D4" s="391"/>
      <c r="E4" s="391"/>
      <c r="F4" s="391"/>
      <c r="G4" s="391"/>
    </row>
    <row r="5" spans="1:8" ht="15.75" hidden="1" customHeight="1">
      <c r="A5" s="392" t="e">
        <f>'[9]П.1.4 Баланс ээ'!B2</f>
        <v>#REF!</v>
      </c>
      <c r="B5" s="392"/>
      <c r="C5" s="392"/>
      <c r="D5" s="392"/>
      <c r="E5" s="392"/>
      <c r="F5" s="392"/>
      <c r="G5" s="392"/>
    </row>
    <row r="6" spans="1:8" ht="13.5" thickBot="1">
      <c r="B6" s="124"/>
      <c r="C6" s="124"/>
    </row>
    <row r="7" spans="1:8" ht="21.75" customHeight="1" thickBot="1">
      <c r="A7" s="393" t="s">
        <v>25</v>
      </c>
      <c r="B7" s="396" t="s">
        <v>26</v>
      </c>
      <c r="C7" s="396" t="s">
        <v>27</v>
      </c>
      <c r="D7" s="399" t="s">
        <v>264</v>
      </c>
      <c r="E7" s="402" t="s">
        <v>348</v>
      </c>
      <c r="F7" s="403"/>
      <c r="G7" s="403"/>
      <c r="H7" s="404"/>
    </row>
    <row r="8" spans="1:8" ht="34.5" customHeight="1">
      <c r="A8" s="394"/>
      <c r="B8" s="397"/>
      <c r="C8" s="397"/>
      <c r="D8" s="400"/>
      <c r="E8" s="256" t="s">
        <v>28</v>
      </c>
      <c r="F8" s="257" t="s">
        <v>29</v>
      </c>
      <c r="G8" s="258" t="s">
        <v>30</v>
      </c>
      <c r="H8" s="259" t="s">
        <v>321</v>
      </c>
    </row>
    <row r="9" spans="1:8" ht="13.5" thickBot="1">
      <c r="A9" s="395"/>
      <c r="B9" s="398"/>
      <c r="C9" s="398"/>
      <c r="D9" s="401"/>
      <c r="E9" s="260" t="s">
        <v>31</v>
      </c>
      <c r="F9" s="261" t="s">
        <v>32</v>
      </c>
      <c r="G9" s="262" t="s">
        <v>33</v>
      </c>
      <c r="H9" s="263"/>
    </row>
    <row r="10" spans="1:8">
      <c r="A10" s="379" t="s">
        <v>34</v>
      </c>
      <c r="B10" s="381" t="s">
        <v>35</v>
      </c>
      <c r="C10" s="242">
        <v>1</v>
      </c>
      <c r="D10" s="264" t="s">
        <v>265</v>
      </c>
      <c r="E10" s="170">
        <v>400</v>
      </c>
      <c r="F10" s="265"/>
      <c r="G10" s="266">
        <f t="shared" ref="G10:G27" si="0">E10*F10/100</f>
        <v>0</v>
      </c>
      <c r="H10" s="263"/>
    </row>
    <row r="11" spans="1:8" ht="15" customHeight="1">
      <c r="A11" s="379"/>
      <c r="B11" s="382"/>
      <c r="C11" s="126"/>
      <c r="D11" s="127" t="s">
        <v>266</v>
      </c>
      <c r="E11" s="128">
        <v>300</v>
      </c>
      <c r="F11" s="129"/>
      <c r="G11" s="267">
        <f t="shared" si="0"/>
        <v>0</v>
      </c>
      <c r="H11" s="263"/>
    </row>
    <row r="12" spans="1:8">
      <c r="A12" s="379"/>
      <c r="B12" s="383" t="s">
        <v>36</v>
      </c>
      <c r="C12" s="384" t="s">
        <v>37</v>
      </c>
      <c r="D12" s="127" t="s">
        <v>265</v>
      </c>
      <c r="E12" s="128">
        <v>230</v>
      </c>
      <c r="F12" s="129"/>
      <c r="G12" s="267">
        <f t="shared" si="0"/>
        <v>0</v>
      </c>
      <c r="H12" s="263"/>
    </row>
    <row r="13" spans="1:8">
      <c r="A13" s="379"/>
      <c r="B13" s="381"/>
      <c r="C13" s="385"/>
      <c r="D13" s="127" t="s">
        <v>266</v>
      </c>
      <c r="E13" s="128">
        <v>170</v>
      </c>
      <c r="F13" s="129"/>
      <c r="G13" s="267">
        <f t="shared" si="0"/>
        <v>0</v>
      </c>
      <c r="H13" s="263"/>
    </row>
    <row r="14" spans="1:8" s="130" customFormat="1">
      <c r="A14" s="379"/>
      <c r="B14" s="381"/>
      <c r="C14" s="384" t="s">
        <v>38</v>
      </c>
      <c r="D14" s="127" t="s">
        <v>265</v>
      </c>
      <c r="E14" s="128">
        <v>290</v>
      </c>
      <c r="F14" s="129"/>
      <c r="G14" s="267">
        <f t="shared" si="0"/>
        <v>0</v>
      </c>
      <c r="H14" s="268"/>
    </row>
    <row r="15" spans="1:8">
      <c r="A15" s="379"/>
      <c r="B15" s="382"/>
      <c r="C15" s="385"/>
      <c r="D15" s="127" t="s">
        <v>266</v>
      </c>
      <c r="E15" s="128">
        <v>210</v>
      </c>
      <c r="F15" s="129"/>
      <c r="G15" s="267">
        <f t="shared" si="0"/>
        <v>0</v>
      </c>
      <c r="H15" s="263"/>
    </row>
    <row r="16" spans="1:8">
      <c r="A16" s="379"/>
      <c r="B16" s="364">
        <v>220</v>
      </c>
      <c r="C16" s="367">
        <v>1</v>
      </c>
      <c r="D16" s="131" t="s">
        <v>267</v>
      </c>
      <c r="E16" s="128">
        <v>260</v>
      </c>
      <c r="F16" s="129"/>
      <c r="G16" s="267">
        <f t="shared" si="0"/>
        <v>0</v>
      </c>
      <c r="H16" s="263"/>
    </row>
    <row r="17" spans="1:8" ht="11.25" customHeight="1">
      <c r="A17" s="379"/>
      <c r="B17" s="365"/>
      <c r="C17" s="368"/>
      <c r="D17" s="131" t="s">
        <v>265</v>
      </c>
      <c r="E17" s="128">
        <v>210</v>
      </c>
      <c r="F17" s="129"/>
      <c r="G17" s="267">
        <f t="shared" si="0"/>
        <v>0</v>
      </c>
      <c r="H17" s="263"/>
    </row>
    <row r="18" spans="1:8" ht="13.5" customHeight="1">
      <c r="A18" s="379"/>
      <c r="B18" s="365"/>
      <c r="C18" s="369"/>
      <c r="D18" s="131" t="s">
        <v>266</v>
      </c>
      <c r="E18" s="128">
        <v>140</v>
      </c>
      <c r="F18" s="129"/>
      <c r="G18" s="267">
        <f t="shared" si="0"/>
        <v>0</v>
      </c>
      <c r="H18" s="263"/>
    </row>
    <row r="19" spans="1:8" ht="12.75" customHeight="1">
      <c r="A19" s="379"/>
      <c r="B19" s="365"/>
      <c r="C19" s="367">
        <v>2</v>
      </c>
      <c r="D19" s="131" t="s">
        <v>265</v>
      </c>
      <c r="E19" s="128">
        <v>270</v>
      </c>
      <c r="F19" s="129"/>
      <c r="G19" s="267">
        <f t="shared" si="0"/>
        <v>0</v>
      </c>
      <c r="H19" s="263"/>
    </row>
    <row r="20" spans="1:8" s="132" customFormat="1" ht="12" customHeight="1">
      <c r="A20" s="379"/>
      <c r="B20" s="366"/>
      <c r="C20" s="369"/>
      <c r="D20" s="131" t="s">
        <v>266</v>
      </c>
      <c r="E20" s="128">
        <v>180</v>
      </c>
      <c r="F20" s="129"/>
      <c r="G20" s="267">
        <f t="shared" si="0"/>
        <v>0</v>
      </c>
      <c r="H20" s="269"/>
    </row>
    <row r="21" spans="1:8">
      <c r="A21" s="379"/>
      <c r="B21" s="364" t="s">
        <v>39</v>
      </c>
      <c r="C21" s="367">
        <v>1</v>
      </c>
      <c r="D21" s="131" t="s">
        <v>267</v>
      </c>
      <c r="E21" s="128">
        <v>180</v>
      </c>
      <c r="F21" s="129"/>
      <c r="G21" s="267">
        <f t="shared" si="0"/>
        <v>0</v>
      </c>
      <c r="H21" s="263"/>
    </row>
    <row r="22" spans="1:8">
      <c r="A22" s="379"/>
      <c r="B22" s="365"/>
      <c r="C22" s="368"/>
      <c r="D22" s="131" t="s">
        <v>265</v>
      </c>
      <c r="E22" s="128">
        <v>160</v>
      </c>
      <c r="F22" s="133">
        <v>1.48</v>
      </c>
      <c r="G22" s="267">
        <f t="shared" si="0"/>
        <v>2.3680000000000003</v>
      </c>
      <c r="H22" s="263"/>
    </row>
    <row r="23" spans="1:8">
      <c r="A23" s="379"/>
      <c r="B23" s="365"/>
      <c r="C23" s="369"/>
      <c r="D23" s="131" t="s">
        <v>266</v>
      </c>
      <c r="E23" s="128">
        <v>130</v>
      </c>
      <c r="F23" s="133">
        <v>1.2</v>
      </c>
      <c r="G23" s="267">
        <f t="shared" si="0"/>
        <v>1.56</v>
      </c>
      <c r="H23" s="263"/>
    </row>
    <row r="24" spans="1:8">
      <c r="A24" s="379"/>
      <c r="B24" s="365"/>
      <c r="C24" s="367">
        <v>2</v>
      </c>
      <c r="D24" s="131" t="s">
        <v>265</v>
      </c>
      <c r="E24" s="128">
        <v>190</v>
      </c>
      <c r="F24" s="133">
        <v>6.63</v>
      </c>
      <c r="G24" s="267">
        <f t="shared" si="0"/>
        <v>12.597000000000001</v>
      </c>
      <c r="H24" s="263"/>
    </row>
    <row r="25" spans="1:8">
      <c r="A25" s="380"/>
      <c r="B25" s="366"/>
      <c r="C25" s="369"/>
      <c r="D25" s="131" t="s">
        <v>266</v>
      </c>
      <c r="E25" s="128">
        <v>160</v>
      </c>
      <c r="F25" s="133"/>
      <c r="G25" s="267">
        <f t="shared" si="0"/>
        <v>0</v>
      </c>
      <c r="H25" s="263"/>
    </row>
    <row r="26" spans="1:8">
      <c r="A26" s="376" t="s">
        <v>40</v>
      </c>
      <c r="B26" s="134">
        <v>220</v>
      </c>
      <c r="C26" s="135" t="s">
        <v>41</v>
      </c>
      <c r="D26" s="131" t="s">
        <v>41</v>
      </c>
      <c r="E26" s="128">
        <v>3000</v>
      </c>
      <c r="F26" s="133"/>
      <c r="G26" s="267">
        <f t="shared" si="0"/>
        <v>0</v>
      </c>
      <c r="H26" s="263"/>
    </row>
    <row r="27" spans="1:8">
      <c r="A27" s="377"/>
      <c r="B27" s="134">
        <v>110</v>
      </c>
      <c r="C27" s="135" t="s">
        <v>41</v>
      </c>
      <c r="D27" s="131" t="s">
        <v>41</v>
      </c>
      <c r="E27" s="128">
        <v>2300</v>
      </c>
      <c r="F27" s="133"/>
      <c r="G27" s="267">
        <f t="shared" si="0"/>
        <v>0</v>
      </c>
      <c r="H27" s="263"/>
    </row>
    <row r="28" spans="1:8">
      <c r="A28" s="136" t="s">
        <v>42</v>
      </c>
      <c r="B28" s="137"/>
      <c r="C28" s="138"/>
      <c r="D28" s="139"/>
      <c r="E28" s="140">
        <f>SUM(E16:E27)</f>
        <v>7180</v>
      </c>
      <c r="F28" s="270">
        <f>SUM(F16:F27)</f>
        <v>9.3099999999999987</v>
      </c>
      <c r="G28" s="271">
        <f>SUM(G16:G27)</f>
        <v>16.525000000000002</v>
      </c>
      <c r="H28" s="263"/>
    </row>
    <row r="29" spans="1:8">
      <c r="A29" s="378" t="s">
        <v>34</v>
      </c>
      <c r="B29" s="364">
        <v>35</v>
      </c>
      <c r="C29" s="367">
        <v>1</v>
      </c>
      <c r="D29" s="131" t="s">
        <v>267</v>
      </c>
      <c r="E29" s="128">
        <v>170</v>
      </c>
      <c r="F29" s="133"/>
      <c r="G29" s="267">
        <f t="shared" ref="G29:G38" si="1">E29*F29/100</f>
        <v>0</v>
      </c>
      <c r="H29" s="263"/>
    </row>
    <row r="30" spans="1:8">
      <c r="A30" s="379"/>
      <c r="B30" s="365"/>
      <c r="C30" s="368"/>
      <c r="D30" s="131" t="s">
        <v>265</v>
      </c>
      <c r="E30" s="128">
        <v>140</v>
      </c>
      <c r="F30" s="133">
        <v>21.54</v>
      </c>
      <c r="G30" s="267">
        <f t="shared" si="1"/>
        <v>30.155999999999999</v>
      </c>
      <c r="H30" s="263"/>
    </row>
    <row r="31" spans="1:8">
      <c r="A31" s="379"/>
      <c r="B31" s="365"/>
      <c r="C31" s="369"/>
      <c r="D31" s="131" t="s">
        <v>266</v>
      </c>
      <c r="E31" s="128">
        <v>120</v>
      </c>
      <c r="F31" s="133">
        <v>15.33</v>
      </c>
      <c r="G31" s="267">
        <f t="shared" si="1"/>
        <v>18.396000000000001</v>
      </c>
      <c r="H31" s="263"/>
    </row>
    <row r="32" spans="1:8">
      <c r="A32" s="379"/>
      <c r="B32" s="365"/>
      <c r="C32" s="367">
        <v>2</v>
      </c>
      <c r="D32" s="131" t="s">
        <v>265</v>
      </c>
      <c r="E32" s="128">
        <v>180</v>
      </c>
      <c r="F32" s="133">
        <v>48.7</v>
      </c>
      <c r="G32" s="267">
        <f t="shared" si="1"/>
        <v>87.66</v>
      </c>
      <c r="H32" s="263"/>
    </row>
    <row r="33" spans="1:8">
      <c r="A33" s="379"/>
      <c r="B33" s="366"/>
      <c r="C33" s="369"/>
      <c r="D33" s="131" t="s">
        <v>266</v>
      </c>
      <c r="E33" s="128">
        <v>150</v>
      </c>
      <c r="F33" s="133">
        <v>24.83</v>
      </c>
      <c r="G33" s="267">
        <f t="shared" si="1"/>
        <v>37.244999999999997</v>
      </c>
      <c r="H33" s="263"/>
    </row>
    <row r="34" spans="1:8">
      <c r="A34" s="379"/>
      <c r="B34" s="364" t="s">
        <v>268</v>
      </c>
      <c r="C34" s="135" t="s">
        <v>41</v>
      </c>
      <c r="D34" s="131" t="s">
        <v>267</v>
      </c>
      <c r="E34" s="128">
        <v>160</v>
      </c>
      <c r="F34" s="133"/>
      <c r="G34" s="267">
        <f t="shared" si="1"/>
        <v>0</v>
      </c>
      <c r="H34" s="263"/>
    </row>
    <row r="35" spans="1:8">
      <c r="A35" s="379"/>
      <c r="B35" s="365"/>
      <c r="C35" s="135"/>
      <c r="D35" s="131" t="s">
        <v>269</v>
      </c>
      <c r="E35" s="128">
        <v>140</v>
      </c>
      <c r="F35" s="133">
        <v>3.8</v>
      </c>
      <c r="G35" s="267">
        <f t="shared" si="1"/>
        <v>5.32</v>
      </c>
      <c r="H35" s="263"/>
    </row>
    <row r="36" spans="1:8">
      <c r="A36" s="380"/>
      <c r="B36" s="366"/>
      <c r="C36" s="135"/>
      <c r="D36" s="131" t="s">
        <v>270</v>
      </c>
      <c r="E36" s="128">
        <v>110</v>
      </c>
      <c r="F36" s="133">
        <v>141.53</v>
      </c>
      <c r="G36" s="267">
        <f t="shared" si="1"/>
        <v>155.68299999999999</v>
      </c>
      <c r="H36" s="263"/>
    </row>
    <row r="37" spans="1:8">
      <c r="A37" s="361" t="s">
        <v>40</v>
      </c>
      <c r="B37" s="134" t="s">
        <v>271</v>
      </c>
      <c r="C37" s="135" t="s">
        <v>41</v>
      </c>
      <c r="D37" s="131" t="s">
        <v>41</v>
      </c>
      <c r="E37" s="128">
        <v>470</v>
      </c>
      <c r="F37" s="133">
        <v>1.03</v>
      </c>
      <c r="G37" s="267">
        <f t="shared" si="1"/>
        <v>4.8410000000000002</v>
      </c>
      <c r="H37" s="263"/>
    </row>
    <row r="38" spans="1:8">
      <c r="A38" s="362"/>
      <c r="B38" s="134" t="s">
        <v>272</v>
      </c>
      <c r="C38" s="135" t="s">
        <v>41</v>
      </c>
      <c r="D38" s="131" t="s">
        <v>41</v>
      </c>
      <c r="E38" s="128">
        <v>350</v>
      </c>
      <c r="F38" s="133">
        <v>5.84</v>
      </c>
      <c r="G38" s="267">
        <f t="shared" si="1"/>
        <v>20.440000000000001</v>
      </c>
      <c r="H38" s="263"/>
    </row>
    <row r="39" spans="1:8">
      <c r="A39" s="136" t="s">
        <v>44</v>
      </c>
      <c r="B39" s="137"/>
      <c r="C39" s="138"/>
      <c r="D39" s="139"/>
      <c r="E39" s="140">
        <f>SUM(E29:E33)+E37</f>
        <v>1230</v>
      </c>
      <c r="F39" s="270">
        <f>SUM(F29:F33)+F37</f>
        <v>111.42999999999999</v>
      </c>
      <c r="G39" s="271">
        <f>SUM(G29:G33)+G37</f>
        <v>178.298</v>
      </c>
      <c r="H39" s="263"/>
    </row>
    <row r="40" spans="1:8">
      <c r="A40" s="136" t="s">
        <v>45</v>
      </c>
      <c r="B40" s="137"/>
      <c r="C40" s="138"/>
      <c r="D40" s="139"/>
      <c r="E40" s="140">
        <f>SUM(E34:E36)+E38</f>
        <v>760</v>
      </c>
      <c r="F40" s="270">
        <f>SUM(F34:F36)+F38</f>
        <v>151.17000000000002</v>
      </c>
      <c r="G40" s="271">
        <f>SUM(G34:G36)+G38</f>
        <v>181.44299999999998</v>
      </c>
      <c r="H40" s="263"/>
    </row>
    <row r="41" spans="1:8">
      <c r="A41" s="361" t="s">
        <v>34</v>
      </c>
      <c r="B41" s="364" t="s">
        <v>273</v>
      </c>
      <c r="C41" s="367" t="s">
        <v>41</v>
      </c>
      <c r="D41" s="131" t="s">
        <v>267</v>
      </c>
      <c r="E41" s="128">
        <v>260</v>
      </c>
      <c r="F41" s="129"/>
      <c r="G41" s="267">
        <f>E41*F41/100</f>
        <v>0</v>
      </c>
      <c r="H41" s="263"/>
    </row>
    <row r="42" spans="1:8">
      <c r="A42" s="363"/>
      <c r="B42" s="365"/>
      <c r="C42" s="368"/>
      <c r="D42" s="131" t="s">
        <v>269</v>
      </c>
      <c r="E42" s="128">
        <v>220</v>
      </c>
      <c r="F42" s="129"/>
      <c r="G42" s="267">
        <f>E42*F42/100</f>
        <v>0</v>
      </c>
      <c r="H42" s="263"/>
    </row>
    <row r="43" spans="1:8">
      <c r="A43" s="362"/>
      <c r="B43" s="366"/>
      <c r="C43" s="369"/>
      <c r="D43" s="131" t="s">
        <v>270</v>
      </c>
      <c r="E43" s="128">
        <v>150</v>
      </c>
      <c r="F43" s="129"/>
      <c r="G43" s="267">
        <f>E43*F43/100</f>
        <v>0</v>
      </c>
      <c r="H43" s="263"/>
    </row>
    <row r="44" spans="1:8">
      <c r="A44" s="141" t="s">
        <v>40</v>
      </c>
      <c r="B44" s="134" t="s">
        <v>46</v>
      </c>
      <c r="C44" s="135" t="s">
        <v>41</v>
      </c>
      <c r="D44" s="131" t="s">
        <v>41</v>
      </c>
      <c r="E44" s="128">
        <v>270</v>
      </c>
      <c r="F44" s="129"/>
      <c r="G44" s="267">
        <f>E44*F44/100</f>
        <v>0</v>
      </c>
      <c r="H44" s="263"/>
    </row>
    <row r="45" spans="1:8">
      <c r="A45" s="136" t="s">
        <v>47</v>
      </c>
      <c r="B45" s="137"/>
      <c r="C45" s="138"/>
      <c r="D45" s="139"/>
      <c r="E45" s="140">
        <f>SUM(E41:E44)</f>
        <v>900</v>
      </c>
      <c r="F45" s="270">
        <f>SUM(F41:F44)</f>
        <v>0</v>
      </c>
      <c r="G45" s="271">
        <f>SUM(G41:G44)</f>
        <v>0</v>
      </c>
      <c r="H45" s="263"/>
    </row>
    <row r="46" spans="1:8" ht="13.5" customHeight="1">
      <c r="A46" s="370" t="s">
        <v>23</v>
      </c>
      <c r="B46" s="371"/>
      <c r="C46" s="142" t="s">
        <v>0</v>
      </c>
      <c r="D46" s="143"/>
      <c r="E46" s="144"/>
      <c r="F46" s="145">
        <f>F47+F48+F49+F50</f>
        <v>271.91000000000003</v>
      </c>
      <c r="G46" s="313">
        <f>G47+G48+G49+G50</f>
        <v>376.26599999999996</v>
      </c>
      <c r="H46" s="263"/>
    </row>
    <row r="47" spans="1:8">
      <c r="A47" s="372"/>
      <c r="B47" s="373"/>
      <c r="C47" s="146" t="s">
        <v>6</v>
      </c>
      <c r="D47" s="147"/>
      <c r="E47" s="148"/>
      <c r="F47" s="149">
        <f>F28</f>
        <v>9.3099999999999987</v>
      </c>
      <c r="G47" s="313">
        <f>G28</f>
        <v>16.525000000000002</v>
      </c>
      <c r="H47" s="263"/>
    </row>
    <row r="48" spans="1:8">
      <c r="A48" s="372"/>
      <c r="B48" s="373"/>
      <c r="C48" s="146" t="s">
        <v>7</v>
      </c>
      <c r="D48" s="150"/>
      <c r="E48" s="148"/>
      <c r="F48" s="149">
        <f>F39</f>
        <v>111.42999999999999</v>
      </c>
      <c r="G48" s="313">
        <f>G39</f>
        <v>178.298</v>
      </c>
      <c r="H48" s="263"/>
    </row>
    <row r="49" spans="1:8">
      <c r="A49" s="372"/>
      <c r="B49" s="373"/>
      <c r="C49" s="146" t="s">
        <v>8</v>
      </c>
      <c r="D49" s="147"/>
      <c r="E49" s="148"/>
      <c r="F49" s="149">
        <f>F40</f>
        <v>151.17000000000002</v>
      </c>
      <c r="G49" s="313">
        <f>G40</f>
        <v>181.44299999999998</v>
      </c>
      <c r="H49" s="263"/>
    </row>
    <row r="50" spans="1:8" s="155" customFormat="1" ht="26.25" customHeight="1" thickBot="1">
      <c r="A50" s="374"/>
      <c r="B50" s="375"/>
      <c r="C50" s="151" t="s">
        <v>9</v>
      </c>
      <c r="D50" s="152"/>
      <c r="E50" s="153"/>
      <c r="F50" s="154">
        <f>F45</f>
        <v>0</v>
      </c>
      <c r="G50" s="272">
        <f>G45</f>
        <v>0</v>
      </c>
      <c r="H50" s="273"/>
    </row>
    <row r="51" spans="1:8">
      <c r="D51" s="125"/>
      <c r="F51" s="156"/>
      <c r="G51" s="156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A37:A38"/>
    <mergeCell ref="A41:A43"/>
    <mergeCell ref="B41:B43"/>
    <mergeCell ref="C41:C43"/>
    <mergeCell ref="A46:B50"/>
  </mergeCells>
  <dataValidations count="1">
    <dataValidation type="decimal" allowBlank="1" showInputMessage="1" showErrorMessage="1" error="Ввведеное значение неверно" sqref="E47:F50 E16:E45 F10:F45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25" zoomScale="75" zoomScaleNormal="78" zoomScaleSheetLayoutView="75" workbookViewId="0">
      <pane xSplit="4" topLeftCell="E1" activePane="topRight" state="frozen"/>
      <selection activeCell="J39" sqref="J39"/>
      <selection pane="topRight" activeCell="H59" sqref="H59"/>
    </sheetView>
  </sheetViews>
  <sheetFormatPr defaultColWidth="14.42578125" defaultRowHeight="12.75"/>
  <cols>
    <col min="1" max="1" width="6.28515625" style="274" customWidth="1"/>
    <col min="2" max="3" width="14.42578125" style="274"/>
    <col min="4" max="5" width="14.42578125" style="169"/>
    <col min="6" max="6" width="14.42578125" style="274"/>
    <col min="7" max="7" width="16" style="274" customWidth="1"/>
    <col min="8" max="8" width="13.5703125" style="159" customWidth="1"/>
    <col min="9" max="16384" width="14.42578125" style="159"/>
  </cols>
  <sheetData>
    <row r="1" spans="1:9" ht="15" hidden="1">
      <c r="G1" s="275" t="s">
        <v>322</v>
      </c>
    </row>
    <row r="2" spans="1:9" ht="14.45" hidden="1" customHeight="1">
      <c r="E2" s="413" t="s">
        <v>320</v>
      </c>
      <c r="F2" s="413"/>
      <c r="G2" s="413"/>
    </row>
    <row r="3" spans="1:9" ht="20.25">
      <c r="C3" s="276"/>
      <c r="D3" s="276"/>
      <c r="E3" s="276"/>
      <c r="F3" s="276"/>
      <c r="G3" s="277" t="s">
        <v>274</v>
      </c>
      <c r="H3" s="158"/>
      <c r="I3" s="158"/>
    </row>
    <row r="4" spans="1:9" ht="66" customHeight="1">
      <c r="C4" s="414" t="s">
        <v>275</v>
      </c>
      <c r="D4" s="415"/>
      <c r="E4" s="415"/>
      <c r="F4" s="415"/>
      <c r="G4" s="415"/>
      <c r="H4" s="160"/>
      <c r="I4" s="160"/>
    </row>
    <row r="5" spans="1:9" ht="15.75" hidden="1">
      <c r="C5" s="392">
        <f>П2.1!A5:G5</f>
        <v>0</v>
      </c>
      <c r="D5" s="392"/>
      <c r="E5" s="392"/>
      <c r="F5" s="392"/>
      <c r="G5" s="392"/>
      <c r="H5" s="161"/>
      <c r="I5" s="161"/>
    </row>
    <row r="6" spans="1:9" ht="15.75">
      <c r="C6" s="241"/>
      <c r="D6" s="241"/>
      <c r="E6" s="241"/>
      <c r="F6" s="241"/>
      <c r="G6" s="241"/>
      <c r="H6" s="161"/>
      <c r="I6" s="161"/>
    </row>
    <row r="7" spans="1:9" ht="13.5" thickBot="1">
      <c r="D7" s="243"/>
      <c r="E7" s="243"/>
      <c r="H7" s="162"/>
      <c r="I7" s="162"/>
    </row>
    <row r="8" spans="1:9" ht="16.5" customHeight="1">
      <c r="A8" s="416" t="s">
        <v>323</v>
      </c>
      <c r="B8" s="416" t="s">
        <v>324</v>
      </c>
      <c r="C8" s="416" t="s">
        <v>48</v>
      </c>
      <c r="D8" s="416" t="s">
        <v>26</v>
      </c>
      <c r="E8" s="418" t="str">
        <f>П2.1!E7</f>
        <v>Факт 2020г</v>
      </c>
      <c r="F8" s="418"/>
      <c r="G8" s="418"/>
      <c r="H8" s="409" t="s">
        <v>321</v>
      </c>
      <c r="I8" s="163"/>
    </row>
    <row r="9" spans="1:9" ht="69" customHeight="1" thickBot="1">
      <c r="A9" s="417"/>
      <c r="B9" s="417"/>
      <c r="C9" s="417"/>
      <c r="D9" s="417"/>
      <c r="E9" s="278" t="s">
        <v>49</v>
      </c>
      <c r="F9" s="278" t="s">
        <v>50</v>
      </c>
      <c r="G9" s="278" t="s">
        <v>30</v>
      </c>
      <c r="H9" s="410"/>
    </row>
    <row r="10" spans="1:9">
      <c r="A10" s="411">
        <v>1</v>
      </c>
      <c r="B10" s="411" t="s">
        <v>325</v>
      </c>
      <c r="C10" s="412" t="s">
        <v>51</v>
      </c>
      <c r="D10" s="279" t="s">
        <v>35</v>
      </c>
      <c r="E10" s="280">
        <v>500</v>
      </c>
      <c r="F10" s="281"/>
      <c r="G10" s="282">
        <f t="shared" ref="G10:G49" si="0">E10*F10</f>
        <v>0</v>
      </c>
      <c r="H10" s="283"/>
    </row>
    <row r="11" spans="1:9" s="164" customFormat="1">
      <c r="A11" s="405"/>
      <c r="B11" s="405"/>
      <c r="C11" s="407"/>
      <c r="D11" s="284">
        <v>330</v>
      </c>
      <c r="E11" s="285">
        <v>250</v>
      </c>
      <c r="F11" s="286"/>
      <c r="G11" s="287">
        <f t="shared" si="0"/>
        <v>0</v>
      </c>
      <c r="H11" s="283"/>
    </row>
    <row r="12" spans="1:9">
      <c r="A12" s="405"/>
      <c r="B12" s="405"/>
      <c r="C12" s="407"/>
      <c r="D12" s="288">
        <v>220</v>
      </c>
      <c r="E12" s="285">
        <v>210</v>
      </c>
      <c r="F12" s="286"/>
      <c r="G12" s="287">
        <f t="shared" si="0"/>
        <v>0</v>
      </c>
      <c r="H12" s="289"/>
      <c r="I12" s="165"/>
    </row>
    <row r="13" spans="1:9">
      <c r="A13" s="405"/>
      <c r="B13" s="405"/>
      <c r="C13" s="407"/>
      <c r="D13" s="288" t="s">
        <v>39</v>
      </c>
      <c r="E13" s="285">
        <v>105</v>
      </c>
      <c r="F13" s="286">
        <v>6</v>
      </c>
      <c r="G13" s="287">
        <f t="shared" si="0"/>
        <v>630</v>
      </c>
      <c r="H13" s="289"/>
      <c r="I13" s="165"/>
    </row>
    <row r="14" spans="1:9" ht="11.25" customHeight="1">
      <c r="A14" s="405"/>
      <c r="B14" s="405"/>
      <c r="C14" s="407"/>
      <c r="D14" s="290">
        <v>35</v>
      </c>
      <c r="E14" s="285">
        <v>75</v>
      </c>
      <c r="F14" s="286">
        <v>24</v>
      </c>
      <c r="G14" s="287">
        <f t="shared" si="0"/>
        <v>1800</v>
      </c>
      <c r="H14" s="289"/>
      <c r="I14" s="165"/>
    </row>
    <row r="15" spans="1:9" ht="13.5" customHeight="1">
      <c r="A15" s="405">
        <v>2</v>
      </c>
      <c r="B15" s="405" t="s">
        <v>326</v>
      </c>
      <c r="C15" s="407" t="s">
        <v>52</v>
      </c>
      <c r="D15" s="290">
        <v>1150</v>
      </c>
      <c r="E15" s="285"/>
      <c r="F15" s="286"/>
      <c r="G15" s="287">
        <f t="shared" si="0"/>
        <v>0</v>
      </c>
      <c r="H15" s="291"/>
      <c r="I15" s="165"/>
    </row>
    <row r="16" spans="1:9" ht="12.75" customHeight="1">
      <c r="A16" s="405"/>
      <c r="B16" s="405"/>
      <c r="C16" s="407"/>
      <c r="D16" s="290">
        <v>750</v>
      </c>
      <c r="E16" s="285"/>
      <c r="F16" s="286"/>
      <c r="G16" s="287">
        <f t="shared" si="0"/>
        <v>0</v>
      </c>
      <c r="H16" s="289"/>
      <c r="I16" s="165"/>
    </row>
    <row r="17" spans="1:9" s="167" customFormat="1" ht="12" customHeight="1">
      <c r="A17" s="405"/>
      <c r="B17" s="405"/>
      <c r="C17" s="407"/>
      <c r="D17" s="290" t="s">
        <v>35</v>
      </c>
      <c r="E17" s="285">
        <v>28</v>
      </c>
      <c r="F17" s="286"/>
      <c r="G17" s="287">
        <f t="shared" si="0"/>
        <v>0</v>
      </c>
      <c r="H17" s="292"/>
      <c r="I17" s="166"/>
    </row>
    <row r="18" spans="1:9">
      <c r="A18" s="405"/>
      <c r="B18" s="405"/>
      <c r="C18" s="407"/>
      <c r="D18" s="290">
        <v>330</v>
      </c>
      <c r="E18" s="285">
        <v>18</v>
      </c>
      <c r="F18" s="286"/>
      <c r="G18" s="287">
        <f t="shared" si="0"/>
        <v>0</v>
      </c>
      <c r="H18" s="293"/>
      <c r="I18" s="168"/>
    </row>
    <row r="19" spans="1:9">
      <c r="A19" s="405"/>
      <c r="B19" s="405"/>
      <c r="C19" s="407"/>
      <c r="D19" s="290">
        <v>220</v>
      </c>
      <c r="E19" s="285">
        <v>14</v>
      </c>
      <c r="F19" s="286"/>
      <c r="G19" s="287">
        <f t="shared" si="0"/>
        <v>0</v>
      </c>
      <c r="H19" s="294"/>
    </row>
    <row r="20" spans="1:9">
      <c r="A20" s="405"/>
      <c r="B20" s="405"/>
      <c r="C20" s="407"/>
      <c r="D20" s="290" t="s">
        <v>39</v>
      </c>
      <c r="E20" s="285">
        <v>7.8</v>
      </c>
      <c r="F20" s="286">
        <v>11</v>
      </c>
      <c r="G20" s="287">
        <f t="shared" si="0"/>
        <v>85.8</v>
      </c>
      <c r="H20" s="294"/>
    </row>
    <row r="21" spans="1:9">
      <c r="A21" s="405"/>
      <c r="B21" s="405"/>
      <c r="C21" s="407"/>
      <c r="D21" s="290">
        <v>35</v>
      </c>
      <c r="E21" s="285">
        <v>2.1</v>
      </c>
      <c r="F21" s="286">
        <v>56</v>
      </c>
      <c r="G21" s="287">
        <f t="shared" si="0"/>
        <v>117.60000000000001</v>
      </c>
      <c r="H21" s="294"/>
    </row>
    <row r="22" spans="1:9" ht="31.5" customHeight="1">
      <c r="A22" s="405"/>
      <c r="B22" s="405"/>
      <c r="C22" s="407"/>
      <c r="D22" s="295" t="s">
        <v>43</v>
      </c>
      <c r="E22" s="285">
        <v>1</v>
      </c>
      <c r="F22" s="286">
        <v>47</v>
      </c>
      <c r="G22" s="287">
        <f t="shared" si="0"/>
        <v>47</v>
      </c>
      <c r="H22" s="294"/>
    </row>
    <row r="23" spans="1:9">
      <c r="A23" s="405">
        <v>3</v>
      </c>
      <c r="B23" s="405" t="s">
        <v>327</v>
      </c>
      <c r="C23" s="407" t="s">
        <v>53</v>
      </c>
      <c r="D23" s="290">
        <v>1150</v>
      </c>
      <c r="E23" s="285"/>
      <c r="F23" s="286"/>
      <c r="G23" s="287">
        <f t="shared" si="0"/>
        <v>0</v>
      </c>
      <c r="H23" s="294"/>
    </row>
    <row r="24" spans="1:9">
      <c r="A24" s="405"/>
      <c r="B24" s="405"/>
      <c r="C24" s="407"/>
      <c r="D24" s="290">
        <v>750</v>
      </c>
      <c r="E24" s="285"/>
      <c r="F24" s="286"/>
      <c r="G24" s="287">
        <f t="shared" si="0"/>
        <v>0</v>
      </c>
      <c r="H24" s="294"/>
    </row>
    <row r="25" spans="1:9">
      <c r="A25" s="405"/>
      <c r="B25" s="405"/>
      <c r="C25" s="407"/>
      <c r="D25" s="290" t="s">
        <v>35</v>
      </c>
      <c r="E25" s="285">
        <v>88</v>
      </c>
      <c r="F25" s="286"/>
      <c r="G25" s="287">
        <f t="shared" si="0"/>
        <v>0</v>
      </c>
      <c r="H25" s="294"/>
    </row>
    <row r="26" spans="1:9">
      <c r="A26" s="405"/>
      <c r="B26" s="405"/>
      <c r="C26" s="407"/>
      <c r="D26" s="290">
        <v>330</v>
      </c>
      <c r="E26" s="285">
        <v>66</v>
      </c>
      <c r="F26" s="286"/>
      <c r="G26" s="287">
        <f t="shared" si="0"/>
        <v>0</v>
      </c>
      <c r="H26" s="294"/>
    </row>
    <row r="27" spans="1:9">
      <c r="A27" s="405"/>
      <c r="B27" s="405"/>
      <c r="C27" s="407"/>
      <c r="D27" s="290">
        <v>220</v>
      </c>
      <c r="E27" s="285">
        <v>43</v>
      </c>
      <c r="F27" s="286"/>
      <c r="G27" s="287">
        <f t="shared" si="0"/>
        <v>0</v>
      </c>
      <c r="H27" s="294"/>
    </row>
    <row r="28" spans="1:9">
      <c r="A28" s="405"/>
      <c r="B28" s="405"/>
      <c r="C28" s="407"/>
      <c r="D28" s="290" t="s">
        <v>39</v>
      </c>
      <c r="E28" s="285">
        <v>26</v>
      </c>
      <c r="F28" s="286"/>
      <c r="G28" s="287">
        <f t="shared" si="0"/>
        <v>0</v>
      </c>
      <c r="H28" s="294"/>
    </row>
    <row r="29" spans="1:9">
      <c r="A29" s="405"/>
      <c r="B29" s="405"/>
      <c r="C29" s="407"/>
      <c r="D29" s="290">
        <v>35</v>
      </c>
      <c r="E29" s="285">
        <v>11</v>
      </c>
      <c r="F29" s="286"/>
      <c r="G29" s="287">
        <f t="shared" si="0"/>
        <v>0</v>
      </c>
      <c r="H29" s="294"/>
    </row>
    <row r="30" spans="1:9">
      <c r="A30" s="405"/>
      <c r="B30" s="405"/>
      <c r="C30" s="407"/>
      <c r="D30" s="295" t="s">
        <v>43</v>
      </c>
      <c r="E30" s="285">
        <v>5.5</v>
      </c>
      <c r="F30" s="286"/>
      <c r="G30" s="287">
        <f t="shared" si="0"/>
        <v>0</v>
      </c>
      <c r="H30" s="294"/>
    </row>
    <row r="31" spans="1:9">
      <c r="A31" s="405">
        <v>4</v>
      </c>
      <c r="B31" s="405" t="s">
        <v>328</v>
      </c>
      <c r="C31" s="407" t="s">
        <v>54</v>
      </c>
      <c r="D31" s="290">
        <v>220</v>
      </c>
      <c r="E31" s="285">
        <v>23</v>
      </c>
      <c r="F31" s="286"/>
      <c r="G31" s="287">
        <f t="shared" si="0"/>
        <v>0</v>
      </c>
      <c r="H31" s="294"/>
    </row>
    <row r="32" spans="1:9">
      <c r="A32" s="405"/>
      <c r="B32" s="405"/>
      <c r="C32" s="407"/>
      <c r="D32" s="290" t="s">
        <v>39</v>
      </c>
      <c r="E32" s="285">
        <v>14</v>
      </c>
      <c r="F32" s="286">
        <v>11</v>
      </c>
      <c r="G32" s="287">
        <f t="shared" si="0"/>
        <v>154</v>
      </c>
      <c r="H32" s="294"/>
    </row>
    <row r="33" spans="1:8">
      <c r="A33" s="405"/>
      <c r="B33" s="405"/>
      <c r="C33" s="407"/>
      <c r="D33" s="290">
        <v>35</v>
      </c>
      <c r="E33" s="285">
        <v>6.4</v>
      </c>
      <c r="F33" s="286">
        <v>63</v>
      </c>
      <c r="G33" s="287">
        <f t="shared" si="0"/>
        <v>403.20000000000005</v>
      </c>
      <c r="H33" s="294"/>
    </row>
    <row r="34" spans="1:8">
      <c r="A34" s="405"/>
      <c r="B34" s="405"/>
      <c r="C34" s="407"/>
      <c r="D34" s="295" t="s">
        <v>43</v>
      </c>
      <c r="E34" s="285">
        <v>3.1</v>
      </c>
      <c r="F34" s="286">
        <v>523</v>
      </c>
      <c r="G34" s="287">
        <f t="shared" si="0"/>
        <v>1621.3</v>
      </c>
      <c r="H34" s="294"/>
    </row>
    <row r="35" spans="1:8" ht="12.75" customHeight="1">
      <c r="A35" s="405">
        <v>5</v>
      </c>
      <c r="B35" s="405" t="s">
        <v>329</v>
      </c>
      <c r="C35" s="407" t="s">
        <v>52</v>
      </c>
      <c r="D35" s="290" t="s">
        <v>35</v>
      </c>
      <c r="E35" s="285">
        <v>35</v>
      </c>
      <c r="F35" s="286"/>
      <c r="G35" s="287">
        <f t="shared" si="0"/>
        <v>0</v>
      </c>
      <c r="H35" s="294"/>
    </row>
    <row r="36" spans="1:8">
      <c r="A36" s="405"/>
      <c r="B36" s="405"/>
      <c r="C36" s="407"/>
      <c r="D36" s="290">
        <v>330</v>
      </c>
      <c r="E36" s="285">
        <v>24</v>
      </c>
      <c r="F36" s="286"/>
      <c r="G36" s="287">
        <f t="shared" si="0"/>
        <v>0</v>
      </c>
      <c r="H36" s="294"/>
    </row>
    <row r="37" spans="1:8">
      <c r="A37" s="405"/>
      <c r="B37" s="405"/>
      <c r="C37" s="407"/>
      <c r="D37" s="290">
        <v>220</v>
      </c>
      <c r="E37" s="285">
        <v>19</v>
      </c>
      <c r="F37" s="286"/>
      <c r="G37" s="287">
        <f t="shared" si="0"/>
        <v>0</v>
      </c>
      <c r="H37" s="294"/>
    </row>
    <row r="38" spans="1:8">
      <c r="A38" s="405"/>
      <c r="B38" s="405"/>
      <c r="C38" s="407"/>
      <c r="D38" s="290" t="s">
        <v>39</v>
      </c>
      <c r="E38" s="285">
        <v>9.5</v>
      </c>
      <c r="F38" s="286"/>
      <c r="G38" s="287">
        <f t="shared" si="0"/>
        <v>0</v>
      </c>
      <c r="H38" s="294"/>
    </row>
    <row r="39" spans="1:8">
      <c r="A39" s="405"/>
      <c r="B39" s="405"/>
      <c r="C39" s="407"/>
      <c r="D39" s="290">
        <v>35</v>
      </c>
      <c r="E39" s="285">
        <v>4.7</v>
      </c>
      <c r="F39" s="286">
        <v>4</v>
      </c>
      <c r="G39" s="287">
        <f t="shared" si="0"/>
        <v>18.8</v>
      </c>
      <c r="H39" s="294"/>
    </row>
    <row r="40" spans="1:8" ht="25.5">
      <c r="A40" s="296">
        <v>6</v>
      </c>
      <c r="B40" s="296" t="s">
        <v>330</v>
      </c>
      <c r="C40" s="297" t="s">
        <v>54</v>
      </c>
      <c r="D40" s="295" t="s">
        <v>43</v>
      </c>
      <c r="E40" s="285">
        <v>2.2999999999999998</v>
      </c>
      <c r="F40" s="286">
        <v>14</v>
      </c>
      <c r="G40" s="287">
        <f t="shared" si="0"/>
        <v>32.199999999999996</v>
      </c>
      <c r="H40" s="294"/>
    </row>
    <row r="41" spans="1:8" ht="51">
      <c r="A41" s="296">
        <v>7</v>
      </c>
      <c r="B41" s="296" t="s">
        <v>331</v>
      </c>
      <c r="C41" s="297" t="s">
        <v>54</v>
      </c>
      <c r="D41" s="295" t="s">
        <v>43</v>
      </c>
      <c r="E41" s="285">
        <v>26</v>
      </c>
      <c r="F41" s="286"/>
      <c r="G41" s="287">
        <f t="shared" si="0"/>
        <v>0</v>
      </c>
      <c r="H41" s="294"/>
    </row>
    <row r="42" spans="1:8" ht="25.5">
      <c r="A42" s="296">
        <v>8</v>
      </c>
      <c r="B42" s="296" t="s">
        <v>332</v>
      </c>
      <c r="C42" s="297" t="s">
        <v>54</v>
      </c>
      <c r="D42" s="295" t="s">
        <v>43</v>
      </c>
      <c r="E42" s="285">
        <v>48</v>
      </c>
      <c r="F42" s="286"/>
      <c r="G42" s="287">
        <f t="shared" si="0"/>
        <v>0</v>
      </c>
      <c r="H42" s="294"/>
    </row>
    <row r="43" spans="1:8" ht="13.5" customHeight="1">
      <c r="A43" s="405">
        <v>9</v>
      </c>
      <c r="B43" s="405" t="s">
        <v>333</v>
      </c>
      <c r="C43" s="407" t="s">
        <v>55</v>
      </c>
      <c r="D43" s="290" t="s">
        <v>39</v>
      </c>
      <c r="E43" s="285">
        <v>2.4</v>
      </c>
      <c r="F43" s="286"/>
      <c r="G43" s="287">
        <f t="shared" si="0"/>
        <v>0</v>
      </c>
      <c r="H43" s="294"/>
    </row>
    <row r="44" spans="1:8">
      <c r="A44" s="405"/>
      <c r="B44" s="405"/>
      <c r="C44" s="407"/>
      <c r="D44" s="290">
        <v>35</v>
      </c>
      <c r="E44" s="285">
        <v>2.4</v>
      </c>
      <c r="F44" s="286"/>
      <c r="G44" s="287">
        <f t="shared" si="0"/>
        <v>0</v>
      </c>
      <c r="H44" s="294"/>
    </row>
    <row r="45" spans="1:8">
      <c r="A45" s="405"/>
      <c r="B45" s="405"/>
      <c r="C45" s="407"/>
      <c r="D45" s="295" t="s">
        <v>43</v>
      </c>
      <c r="E45" s="285">
        <v>2.4</v>
      </c>
      <c r="F45" s="286">
        <v>1.52</v>
      </c>
      <c r="G45" s="287">
        <f t="shared" si="0"/>
        <v>3.6479999999999997</v>
      </c>
      <c r="H45" s="294"/>
    </row>
    <row r="46" spans="1:8" ht="25.5">
      <c r="A46" s="296">
        <v>10</v>
      </c>
      <c r="B46" s="296" t="s">
        <v>334</v>
      </c>
      <c r="C46" s="297" t="s">
        <v>56</v>
      </c>
      <c r="D46" s="295" t="s">
        <v>43</v>
      </c>
      <c r="E46" s="285">
        <v>2.5</v>
      </c>
      <c r="F46" s="286">
        <v>4</v>
      </c>
      <c r="G46" s="287">
        <f t="shared" si="0"/>
        <v>10</v>
      </c>
      <c r="H46" s="294"/>
    </row>
    <row r="47" spans="1:8" ht="26.25" customHeight="1">
      <c r="A47" s="296">
        <v>11</v>
      </c>
      <c r="B47" s="296" t="s">
        <v>335</v>
      </c>
      <c r="C47" s="297" t="s">
        <v>57</v>
      </c>
      <c r="D47" s="295" t="s">
        <v>43</v>
      </c>
      <c r="E47" s="285">
        <v>2.2999999999999998</v>
      </c>
      <c r="F47" s="286">
        <v>21</v>
      </c>
      <c r="G47" s="287">
        <f t="shared" si="0"/>
        <v>48.3</v>
      </c>
      <c r="H47" s="294"/>
    </row>
    <row r="48" spans="1:8" ht="38.25">
      <c r="A48" s="296">
        <v>12</v>
      </c>
      <c r="B48" s="296" t="s">
        <v>336</v>
      </c>
      <c r="C48" s="297" t="s">
        <v>57</v>
      </c>
      <c r="D48" s="295" t="s">
        <v>43</v>
      </c>
      <c r="E48" s="285">
        <v>3</v>
      </c>
      <c r="F48" s="286">
        <v>4</v>
      </c>
      <c r="G48" s="287">
        <f t="shared" si="0"/>
        <v>12</v>
      </c>
      <c r="H48" s="294"/>
    </row>
    <row r="49" spans="1:8" ht="51">
      <c r="A49" s="296">
        <v>13</v>
      </c>
      <c r="B49" s="296" t="s">
        <v>337</v>
      </c>
      <c r="C49" s="297" t="s">
        <v>51</v>
      </c>
      <c r="D49" s="290">
        <v>35</v>
      </c>
      <c r="E49" s="285">
        <v>3.5</v>
      </c>
      <c r="F49" s="286"/>
      <c r="G49" s="287">
        <f t="shared" si="0"/>
        <v>0</v>
      </c>
      <c r="H49" s="294"/>
    </row>
    <row r="50" spans="1:8" ht="16.5" customHeight="1">
      <c r="A50" s="405">
        <v>14</v>
      </c>
      <c r="B50" s="405" t="s">
        <v>23</v>
      </c>
      <c r="C50" s="407"/>
      <c r="D50" s="298" t="s">
        <v>0</v>
      </c>
      <c r="E50" s="299"/>
      <c r="F50" s="299">
        <f>F51+F52+F53+F54</f>
        <v>789.52</v>
      </c>
      <c r="G50" s="314">
        <f>G51+G52+G53+G54</f>
        <v>4983.848</v>
      </c>
      <c r="H50" s="294"/>
    </row>
    <row r="51" spans="1:8" ht="16.5" customHeight="1">
      <c r="A51" s="405"/>
      <c r="B51" s="405"/>
      <c r="C51" s="407"/>
      <c r="D51" s="300" t="s">
        <v>6</v>
      </c>
      <c r="E51" s="301"/>
      <c r="F51" s="302">
        <f>F38+F37+F32+F31+F28+F27+F20+F19+F13+F12+F43</f>
        <v>28</v>
      </c>
      <c r="G51" s="314">
        <f>G38+G37+G32+G31+G28+G27+G20+G19+G13+G12+G43</f>
        <v>869.8</v>
      </c>
      <c r="H51" s="294"/>
    </row>
    <row r="52" spans="1:8" ht="34.5" customHeight="1">
      <c r="A52" s="405"/>
      <c r="B52" s="405"/>
      <c r="C52" s="407"/>
      <c r="D52" s="300" t="s">
        <v>7</v>
      </c>
      <c r="E52" s="301"/>
      <c r="F52" s="302">
        <f>F14+F21+F29+F33+F39+F44+F49</f>
        <v>147</v>
      </c>
      <c r="G52" s="314">
        <f>G14+G21+G29+G33+G39+G44+G49</f>
        <v>2339.6000000000004</v>
      </c>
      <c r="H52" s="294"/>
    </row>
    <row r="53" spans="1:8">
      <c r="A53" s="405"/>
      <c r="B53" s="405"/>
      <c r="C53" s="407"/>
      <c r="D53" s="300" t="s">
        <v>8</v>
      </c>
      <c r="E53" s="301"/>
      <c r="F53" s="302">
        <f>F22+F30+F34+F40+F41+F42+F45+F46+F47+F48</f>
        <v>614.52</v>
      </c>
      <c r="G53" s="314">
        <f>G22+G30+G34+G40+G41+G42+G45+G46+G47+G48</f>
        <v>1774.4479999999999</v>
      </c>
      <c r="H53" s="294"/>
    </row>
    <row r="54" spans="1:8" ht="13.5" thickBot="1">
      <c r="A54" s="406"/>
      <c r="B54" s="406"/>
      <c r="C54" s="408"/>
      <c r="D54" s="303" t="s">
        <v>9</v>
      </c>
      <c r="E54" s="304"/>
      <c r="F54" s="305">
        <f>SUM(F12:F49) - F51-F52-F53</f>
        <v>0</v>
      </c>
      <c r="G54" s="315">
        <f>SUM(G12:G49) - G51-G52-G53</f>
        <v>0</v>
      </c>
      <c r="H54" s="294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E2:G2"/>
    <mergeCell ref="C4:G4"/>
    <mergeCell ref="C5:G5"/>
    <mergeCell ref="A8:A9"/>
    <mergeCell ref="B8:B9"/>
    <mergeCell ref="C8:C9"/>
    <mergeCell ref="D8:D9"/>
    <mergeCell ref="E8:G8"/>
    <mergeCell ref="H8:H9"/>
    <mergeCell ref="A10:A14"/>
    <mergeCell ref="B10:B14"/>
    <mergeCell ref="C10:C14"/>
    <mergeCell ref="A15:A22"/>
    <mergeCell ref="B15:B22"/>
    <mergeCell ref="C15:C22"/>
    <mergeCell ref="A23:A30"/>
    <mergeCell ref="B23:B30"/>
    <mergeCell ref="C23:C30"/>
    <mergeCell ref="A31:A34"/>
    <mergeCell ref="B31:B34"/>
    <mergeCell ref="C31:C34"/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</mergeCells>
  <dataValidations count="1">
    <dataValidation type="decimal" allowBlank="1" showInputMessage="1" showErrorMessage="1" error="Ввведеное значение неверно" sqref="E12:E54 F10:F54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2021-01-28T05:00:04Z</cp:lastPrinted>
  <dcterms:created xsi:type="dcterms:W3CDTF">2015-11-25T12:55:18Z</dcterms:created>
  <dcterms:modified xsi:type="dcterms:W3CDTF">2021-02-08T08:49:45Z</dcterms:modified>
</cp:coreProperties>
</file>