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ЭтаКнига"/>
  <mc:AlternateContent xmlns:mc="http://schemas.openxmlformats.org/markup-compatibility/2006">
    <mc:Choice Requires="x15">
      <x15ac:absPath xmlns:x15ac="http://schemas.microsoft.com/office/spreadsheetml/2010/11/ac" url="\\Fserv\обменник\Служба по экономике и финансам\Сектор по ТЭ\Документы Энергосбыта\Документы 2023г\Факт_2022_в_табл_П1.4,\"/>
    </mc:Choice>
  </mc:AlternateContent>
  <xr:revisionPtr revIDLastSave="0" documentId="13_ncr:1_{3A2F73D2-83B5-4A4B-B97C-924EC3E0278C}" xr6:coauthVersionLast="47" xr6:coauthVersionMax="47" xr10:uidLastSave="{00000000-0000-0000-0000-000000000000}"/>
  <bookViews>
    <workbookView xWindow="-120" yWindow="-120" windowWidth="29040" windowHeight="15840" tabRatio="858" activeTab="1" xr2:uid="{00000000-000D-0000-FFFF-FFFF00000000}"/>
  </bookViews>
  <sheets>
    <sheet name="П1.4" sheetId="33" r:id="rId1"/>
    <sheet name="П1.5" sheetId="34" r:id="rId2"/>
    <sheet name="П1.6" sheetId="35" r:id="rId3"/>
    <sheet name="П1.30 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3">'П1.30 '!CompOt</definedName>
    <definedName name="CompOt">[0]!CompOt</definedName>
    <definedName name="CompRas" localSheetId="3">'П1.30 '!CompRas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3">'П1.30 '!ew</definedName>
    <definedName name="ew">[0]!ew</definedName>
    <definedName name="fg" localSheetId="3">'П1.30 '!fg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3">'П1.30 '!k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3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3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3">'[6]4'!$Z$27:$AC$31,'[6]4'!$F$14:$I$20,P1_SCOPE_4_PRT,P2_SCOPE_4_PRT</definedName>
    <definedName name="SCOPE_4_PRT">'[6]4'!$Z$27:$AC$31,'[6]4'!$F$14:$I$20,P1_SCOPE_4_PRT,P2_SCOPE_4_PRT</definedName>
    <definedName name="SCOPE_5_PRT" localSheetId="3">'[6]5'!$Z$27:$AC$31,'[6]5'!$F$14:$I$21,P1_SCOPE_5_PRT,P2_SCOPE_5_PRT</definedName>
    <definedName name="SCOPE_5_PRT">'[6]5'!$Z$27:$AC$31,'[6]5'!$F$14:$I$21,P1_SCOPE_5_PRT,P2_SCOPE_5_PRT</definedName>
    <definedName name="SCOPE_F1_PRT" localSheetId="3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3">P5_SCOPE_PER_PRT,P6_SCOPE_PER_PRT,P7_SCOPE_PER_PRT,'П1.30 '!P8_SCOPE_PER_PRT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3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3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3">'П1.30 '!в23ё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3">'П1.30 '!вв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3">'П1.30 '!$6:$6</definedName>
    <definedName name="_xlnm.Print_Titles" localSheetId="0">'П1.4'!$A:$C</definedName>
    <definedName name="_xlnm.Print_Titles" localSheetId="1">'П1.5'!$A:$C</definedName>
    <definedName name="_xlnm.Print_Titles" localSheetId="2">'П1.6'!$1:$7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3">'П1.30 '!й</definedName>
    <definedName name="й">[0]!й</definedName>
    <definedName name="йй" localSheetId="3">'П1.30 '!йй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3">'П1.30 '!ке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3">'П1.30 '!мым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3">'П1.30 '!$A$1:$N$159</definedName>
    <definedName name="_xlnm.Print_Area" localSheetId="0">'П1.4'!$A$1:$R$36</definedName>
    <definedName name="_xlnm.Print_Area" localSheetId="1">'П1.5'!$A$1:$X$37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3">'П1.30 '!с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3">'П1.30 '!сс</definedName>
    <definedName name="сс">[0]!сс</definedName>
    <definedName name="сссс" localSheetId="3">'П1.30 '!сссс</definedName>
    <definedName name="сссс">[0]!сссс</definedName>
    <definedName name="ссы" localSheetId="3">'П1.30 '!ссы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3">'П1.30 '!у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3">'П1.30 '!ц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3">'П1.30 '!цу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3">'П1.30 '!ыв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3">'П1.30 '!ыыыы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35" l="1"/>
  <c r="J112" i="35"/>
  <c r="J102" i="35"/>
  <c r="Q7" i="34"/>
  <c r="P7" i="34"/>
  <c r="P11" i="34"/>
  <c r="O29" i="34"/>
  <c r="P33" i="34"/>
  <c r="O16" i="34"/>
  <c r="N18" i="34"/>
  <c r="O18" i="34"/>
  <c r="O26" i="34"/>
  <c r="P30" i="34"/>
  <c r="O19" i="34"/>
  <c r="K111" i="35"/>
  <c r="Q30" i="34"/>
  <c r="O27" i="34"/>
  <c r="P16" i="34"/>
  <c r="N29" i="34"/>
  <c r="P18" i="34"/>
  <c r="Q21" i="34"/>
  <c r="O22" i="34"/>
  <c r="K108" i="35"/>
  <c r="D110" i="35"/>
  <c r="I104" i="35" l="1"/>
  <c r="K113" i="35" l="1"/>
  <c r="I110" i="35"/>
  <c r="O27" i="33" l="1"/>
  <c r="P27" i="33"/>
  <c r="Q27" i="33"/>
  <c r="L26" i="33"/>
  <c r="Q26" i="33" s="1"/>
  <c r="K26" i="33"/>
  <c r="P26" i="33" s="1"/>
  <c r="J26" i="33"/>
  <c r="O26" i="33" s="1"/>
  <c r="F26" i="33"/>
  <c r="G26" i="33"/>
  <c r="N26" i="33"/>
  <c r="J110" i="35"/>
  <c r="H110" i="35" s="1"/>
  <c r="E110" i="35"/>
  <c r="M110" i="35" s="1"/>
  <c r="C110" i="35"/>
  <c r="H71" i="35"/>
  <c r="C71" i="35"/>
  <c r="B71" i="35"/>
  <c r="B110" i="35" s="1"/>
  <c r="H31" i="35"/>
  <c r="C31" i="35"/>
  <c r="K102" i="35"/>
  <c r="Q33" i="34"/>
  <c r="J108" i="35"/>
  <c r="J111" i="35"/>
  <c r="O33" i="34"/>
  <c r="N33" i="34" s="1"/>
  <c r="P22" i="34"/>
  <c r="P20" i="34"/>
  <c r="M71" i="35" l="1"/>
  <c r="M31" i="35"/>
  <c r="M12" i="36"/>
  <c r="I37" i="36"/>
  <c r="G37" i="36"/>
  <c r="E37" i="36"/>
  <c r="C37" i="36"/>
  <c r="I26" i="36"/>
  <c r="I133" i="36" s="1"/>
  <c r="G26" i="36"/>
  <c r="G133" i="36" s="1"/>
  <c r="E26" i="36"/>
  <c r="E133" i="36" s="1"/>
  <c r="C26" i="36"/>
  <c r="C133" i="36" s="1"/>
  <c r="N28" i="34" l="1"/>
  <c r="D33" i="34"/>
  <c r="I28" i="34" l="1"/>
  <c r="D28" i="34"/>
  <c r="I102" i="35"/>
  <c r="F114" i="35"/>
  <c r="C114" i="35" s="1"/>
  <c r="K114" i="35"/>
  <c r="C75" i="35"/>
  <c r="H75" i="35"/>
  <c r="C35" i="35"/>
  <c r="H35" i="35"/>
  <c r="H114" i="35" l="1"/>
  <c r="K112" i="35"/>
  <c r="M35" i="35"/>
  <c r="M75" i="35"/>
  <c r="M37" i="36"/>
  <c r="H102" i="35"/>
  <c r="M114" i="35"/>
  <c r="K104" i="35"/>
  <c r="F104" i="35"/>
  <c r="K90" i="35"/>
  <c r="O28" i="33"/>
  <c r="Q18" i="34"/>
  <c r="O17" i="34"/>
  <c r="I137" i="36" l="1"/>
  <c r="G137" i="36"/>
  <c r="E137" i="36"/>
  <c r="C137" i="36"/>
  <c r="I28" i="36"/>
  <c r="I86" i="36" s="1"/>
  <c r="G28" i="36"/>
  <c r="G86" i="36" s="1"/>
  <c r="E28" i="36"/>
  <c r="M28" i="36" s="1"/>
  <c r="M86" i="36" s="1"/>
  <c r="C28" i="36"/>
  <c r="C86" i="36" s="1"/>
  <c r="I16" i="36"/>
  <c r="I15" i="36"/>
  <c r="I14" i="36"/>
  <c r="E16" i="36"/>
  <c r="E15" i="36"/>
  <c r="M15" i="36" s="1"/>
  <c r="E14" i="36"/>
  <c r="M16" i="36" l="1"/>
  <c r="E86" i="36"/>
  <c r="J117" i="35" l="1"/>
  <c r="I116" i="35"/>
  <c r="D116" i="35"/>
  <c r="C77" i="35"/>
  <c r="H77" i="35"/>
  <c r="C37" i="35"/>
  <c r="H37" i="35"/>
  <c r="K91" i="35"/>
  <c r="Q16" i="34"/>
  <c r="N16" i="34"/>
  <c r="Q29" i="34"/>
  <c r="Q36" i="34"/>
  <c r="P36" i="34"/>
  <c r="O36" i="34"/>
  <c r="Q22" i="34"/>
  <c r="N22" i="34" l="1"/>
  <c r="C116" i="35"/>
  <c r="D112" i="35"/>
  <c r="M77" i="35"/>
  <c r="M37" i="35"/>
  <c r="H116" i="35"/>
  <c r="M116" i="35" s="1"/>
  <c r="I112" i="35"/>
  <c r="N36" i="34"/>
  <c r="N30" i="34"/>
  <c r="L16" i="34"/>
  <c r="K16" i="34"/>
  <c r="J16" i="34"/>
  <c r="G16" i="34"/>
  <c r="F16" i="34"/>
  <c r="Q12" i="34" l="1"/>
  <c r="K11" i="34"/>
  <c r="E16" i="34"/>
  <c r="I103" i="35"/>
  <c r="I111" i="35"/>
  <c r="I109" i="35" l="1"/>
  <c r="J115" i="35"/>
  <c r="K95" i="35"/>
  <c r="J91" i="35"/>
  <c r="I91" i="35"/>
  <c r="M137" i="36" l="1"/>
  <c r="M26" i="36"/>
  <c r="M133" i="36" s="1"/>
  <c r="N26" i="34"/>
  <c r="J105" i="35" l="1"/>
  <c r="H112" i="35"/>
  <c r="K37" i="36" l="1"/>
  <c r="K137" i="36" s="1"/>
  <c r="D104" i="35"/>
  <c r="L16" i="33"/>
  <c r="K16" i="33"/>
  <c r="J16" i="33"/>
  <c r="E16" i="33"/>
  <c r="F16" i="33"/>
  <c r="G16" i="33"/>
  <c r="C36" i="36" l="1"/>
  <c r="E117" i="35"/>
  <c r="D109" i="35"/>
  <c r="C109" i="35" s="1"/>
  <c r="H109" i="35"/>
  <c r="C70" i="35"/>
  <c r="H70" i="35"/>
  <c r="H38" i="35"/>
  <c r="E35" i="36" s="1"/>
  <c r="C38" i="35"/>
  <c r="C30" i="35"/>
  <c r="H30" i="35"/>
  <c r="M30" i="35" l="1"/>
  <c r="M38" i="35"/>
  <c r="M70" i="35"/>
  <c r="C35" i="36"/>
  <c r="M109" i="35"/>
  <c r="B65" i="35"/>
  <c r="B104" i="35" s="1"/>
  <c r="J7" i="36" l="1"/>
  <c r="N17" i="34"/>
  <c r="N19" i="34"/>
  <c r="N20" i="34"/>
  <c r="N21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Q18" i="33"/>
  <c r="O18" i="33"/>
  <c r="O17" i="33"/>
  <c r="N17" i="33" s="1"/>
  <c r="I17" i="33"/>
  <c r="G12" i="36" s="1"/>
  <c r="I18" i="33"/>
  <c r="G13" i="36" s="1"/>
  <c r="I19" i="33"/>
  <c r="G14" i="36" s="1"/>
  <c r="I20" i="33"/>
  <c r="G16" i="36" s="1"/>
  <c r="I21" i="33"/>
  <c r="G15" i="36" s="1"/>
  <c r="D17" i="33"/>
  <c r="C12" i="36" s="1"/>
  <c r="D18" i="33"/>
  <c r="C13" i="36" s="1"/>
  <c r="D19" i="33"/>
  <c r="C14" i="36" s="1"/>
  <c r="D20" i="33"/>
  <c r="C16" i="36" s="1"/>
  <c r="D21" i="33"/>
  <c r="C15" i="36" s="1"/>
  <c r="N18" i="33" l="1"/>
  <c r="M73" i="36"/>
  <c r="H23" i="35"/>
  <c r="I108" i="35"/>
  <c r="H108" i="35" s="1"/>
  <c r="K106" i="35"/>
  <c r="K105" i="35" s="1"/>
  <c r="I106" i="35"/>
  <c r="H27" i="35"/>
  <c r="N7" i="36" l="1"/>
  <c r="K101" i="35" l="1"/>
  <c r="K96" i="35" s="1"/>
  <c r="J104" i="35"/>
  <c r="J26" i="35"/>
  <c r="K26" i="35"/>
  <c r="I26" i="35"/>
  <c r="I107" i="35"/>
  <c r="I101" i="35" l="1"/>
  <c r="H101" i="35" s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2" i="34"/>
  <c r="U22" i="34"/>
  <c r="V22" i="34"/>
  <c r="T24" i="34"/>
  <c r="U24" i="34"/>
  <c r="V24" i="34"/>
  <c r="T25" i="34"/>
  <c r="U25" i="34"/>
  <c r="V25" i="34"/>
  <c r="T29" i="34"/>
  <c r="U29" i="34"/>
  <c r="V29" i="34"/>
  <c r="T32" i="34"/>
  <c r="U32" i="34"/>
  <c r="V32" i="34"/>
  <c r="T33" i="34"/>
  <c r="U33" i="34"/>
  <c r="V33" i="34"/>
  <c r="T34" i="34"/>
  <c r="U34" i="34"/>
  <c r="V34" i="34"/>
  <c r="T35" i="34"/>
  <c r="U35" i="34"/>
  <c r="V35" i="34"/>
  <c r="T36" i="34"/>
  <c r="U36" i="34"/>
  <c r="V36" i="34"/>
  <c r="S8" i="34"/>
  <c r="S9" i="34"/>
  <c r="S10" i="34"/>
  <c r="S11" i="34"/>
  <c r="S12" i="34"/>
  <c r="S13" i="34"/>
  <c r="S14" i="34"/>
  <c r="S15" i="34"/>
  <c r="S24" i="34"/>
  <c r="S25" i="34"/>
  <c r="S32" i="34"/>
  <c r="S34" i="34"/>
  <c r="S35" i="34"/>
  <c r="F30" i="34"/>
  <c r="E30" i="34"/>
  <c r="D107" i="35" l="1"/>
  <c r="C107" i="35" s="1"/>
  <c r="D108" i="35"/>
  <c r="E108" i="35"/>
  <c r="F108" i="35"/>
  <c r="D111" i="35"/>
  <c r="E111" i="35"/>
  <c r="F111" i="35"/>
  <c r="F106" i="35"/>
  <c r="E104" i="35"/>
  <c r="D103" i="35"/>
  <c r="E102" i="35"/>
  <c r="E101" i="35" s="1"/>
  <c r="F102" i="35"/>
  <c r="F101" i="35" s="1"/>
  <c r="H111" i="35"/>
  <c r="H107" i="35"/>
  <c r="H72" i="35"/>
  <c r="C72" i="35"/>
  <c r="H69" i="35"/>
  <c r="C69" i="35"/>
  <c r="H68" i="35"/>
  <c r="C68" i="35"/>
  <c r="E105" i="35" l="1"/>
  <c r="C108" i="35"/>
  <c r="M108" i="35" s="1"/>
  <c r="C111" i="35"/>
  <c r="M111" i="35" s="1"/>
  <c r="F105" i="35"/>
  <c r="M72" i="35"/>
  <c r="M69" i="35"/>
  <c r="M107" i="35"/>
  <c r="M68" i="35"/>
  <c r="H104" i="35"/>
  <c r="C29" i="35" l="1"/>
  <c r="H29" i="35"/>
  <c r="M29" i="35" l="1"/>
  <c r="I66" i="35"/>
  <c r="I105" i="35"/>
  <c r="H105" i="35" s="1"/>
  <c r="J66" i="35"/>
  <c r="K66" i="35"/>
  <c r="K88" i="35"/>
  <c r="K118" i="35" s="1"/>
  <c r="K49" i="35"/>
  <c r="K9" i="35"/>
  <c r="H12" i="35"/>
  <c r="H52" i="35"/>
  <c r="H91" i="35"/>
  <c r="E26" i="35"/>
  <c r="E66" i="35"/>
  <c r="F26" i="35"/>
  <c r="D26" i="35"/>
  <c r="F66" i="35"/>
  <c r="D66" i="35"/>
  <c r="F49" i="35"/>
  <c r="F9" i="35"/>
  <c r="C52" i="35"/>
  <c r="C12" i="35"/>
  <c r="F90" i="35"/>
  <c r="J96" i="35" l="1"/>
  <c r="I96" i="35"/>
  <c r="H96" i="35" l="1"/>
  <c r="J88" i="35"/>
  <c r="J118" i="35" s="1"/>
  <c r="P31" i="34" s="1"/>
  <c r="H53" i="35"/>
  <c r="H13" i="35"/>
  <c r="C13" i="35"/>
  <c r="C53" i="35"/>
  <c r="J49" i="35"/>
  <c r="E49" i="35"/>
  <c r="J9" i="35"/>
  <c r="E9" i="35"/>
  <c r="M80" i="36" l="1"/>
  <c r="M88" i="36" l="1"/>
  <c r="I88" i="36"/>
  <c r="E88" i="36"/>
  <c r="M107" i="36"/>
  <c r="I107" i="36"/>
  <c r="E107" i="36"/>
  <c r="M84" i="36"/>
  <c r="I84" i="36"/>
  <c r="E84" i="36"/>
  <c r="I80" i="36"/>
  <c r="E80" i="36"/>
  <c r="K73" i="35" l="1"/>
  <c r="J73" i="35"/>
  <c r="I73" i="35"/>
  <c r="E73" i="35"/>
  <c r="F73" i="35"/>
  <c r="D73" i="35"/>
  <c r="K62" i="35"/>
  <c r="J62" i="35"/>
  <c r="I62" i="35"/>
  <c r="F62" i="35"/>
  <c r="F57" i="35" s="1"/>
  <c r="E62" i="35"/>
  <c r="D62" i="35"/>
  <c r="K22" i="35"/>
  <c r="J22" i="35"/>
  <c r="I22" i="35"/>
  <c r="K33" i="35"/>
  <c r="J33" i="35"/>
  <c r="I33" i="35"/>
  <c r="E22" i="35"/>
  <c r="F22" i="35"/>
  <c r="D22" i="35"/>
  <c r="E33" i="35"/>
  <c r="F33" i="35"/>
  <c r="D33" i="35"/>
  <c r="H79" i="35"/>
  <c r="K17" i="35" l="1"/>
  <c r="D17" i="35"/>
  <c r="H62" i="35"/>
  <c r="H66" i="35"/>
  <c r="F11" i="34"/>
  <c r="U11" i="34" l="1"/>
  <c r="D29" i="33"/>
  <c r="G88" i="36"/>
  <c r="G84" i="36"/>
  <c r="E138" i="36"/>
  <c r="C138" i="36"/>
  <c r="C88" i="36"/>
  <c r="G107" i="36"/>
  <c r="C107" i="36"/>
  <c r="G80" i="36"/>
  <c r="C80" i="36"/>
  <c r="C84" i="36"/>
  <c r="C79" i="35" l="1"/>
  <c r="K11" i="33"/>
  <c r="F11" i="33"/>
  <c r="E88" i="35" l="1"/>
  <c r="O23" i="34"/>
  <c r="J23" i="34"/>
  <c r="E23" i="34"/>
  <c r="T23" i="34" l="1"/>
  <c r="P26" i="34" l="1"/>
  <c r="P27" i="34" s="1"/>
  <c r="Q26" i="34"/>
  <c r="Q27" i="34" s="1"/>
  <c r="K26" i="34"/>
  <c r="K27" i="34" s="1"/>
  <c r="L26" i="34"/>
  <c r="L27" i="34" s="1"/>
  <c r="F26" i="34"/>
  <c r="G26" i="34"/>
  <c r="N27" i="34" l="1"/>
  <c r="G27" i="34"/>
  <c r="V26" i="34"/>
  <c r="F27" i="34"/>
  <c r="U26" i="34"/>
  <c r="I16" i="33"/>
  <c r="D16" i="33"/>
  <c r="D7" i="33" s="1"/>
  <c r="C10" i="36" s="1"/>
  <c r="U27" i="34" l="1"/>
  <c r="V27" i="34"/>
  <c r="I7" i="33"/>
  <c r="G10" i="36" s="1"/>
  <c r="K8" i="33"/>
  <c r="K7" i="33"/>
  <c r="J7" i="33"/>
  <c r="J23" i="33" s="1"/>
  <c r="F7" i="33"/>
  <c r="F8" i="33"/>
  <c r="E7" i="33"/>
  <c r="E23" i="33" s="1"/>
  <c r="I35" i="33"/>
  <c r="I33" i="33"/>
  <c r="D35" i="33"/>
  <c r="D33" i="33"/>
  <c r="I22" i="33"/>
  <c r="I23" i="33" s="1"/>
  <c r="D22" i="33"/>
  <c r="D23" i="33" s="1"/>
  <c r="K30" i="33"/>
  <c r="L30" i="33"/>
  <c r="J30" i="33"/>
  <c r="F30" i="33"/>
  <c r="G30" i="33"/>
  <c r="E30" i="33"/>
  <c r="G77" i="36" l="1"/>
  <c r="D30" i="33"/>
  <c r="O30" i="33"/>
  <c r="F23" i="33"/>
  <c r="G12" i="33"/>
  <c r="I30" i="33"/>
  <c r="L12" i="33"/>
  <c r="K23" i="33"/>
  <c r="N30" i="33" l="1"/>
  <c r="G7" i="33"/>
  <c r="G23" i="33" s="1"/>
  <c r="G8" i="33"/>
  <c r="L8" i="33"/>
  <c r="L7" i="33"/>
  <c r="L23" i="33" s="1"/>
  <c r="B1" i="34"/>
  <c r="I3" i="35" l="1"/>
  <c r="M130" i="36"/>
  <c r="M127" i="36"/>
  <c r="M105" i="36"/>
  <c r="M104" i="36"/>
  <c r="M101" i="36"/>
  <c r="M79" i="36"/>
  <c r="M76" i="36"/>
  <c r="K135" i="36"/>
  <c r="K121" i="36"/>
  <c r="K109" i="36"/>
  <c r="K107" i="36"/>
  <c r="K95" i="36"/>
  <c r="K84" i="36"/>
  <c r="K82" i="36"/>
  <c r="K70" i="36"/>
  <c r="K32" i="36"/>
  <c r="K30" i="36"/>
  <c r="K28" i="36"/>
  <c r="K86" i="36" s="1"/>
  <c r="K24" i="36"/>
  <c r="K13" i="36"/>
  <c r="K14" i="36"/>
  <c r="K15" i="36"/>
  <c r="K16" i="36"/>
  <c r="K12" i="36"/>
  <c r="M125" i="36"/>
  <c r="M136" i="36" s="1"/>
  <c r="M99" i="36"/>
  <c r="M110" i="36" s="1"/>
  <c r="M75" i="36"/>
  <c r="M87" i="36" s="1"/>
  <c r="M33" i="36"/>
  <c r="M31" i="36"/>
  <c r="M29" i="36"/>
  <c r="I130" i="36"/>
  <c r="I127" i="36"/>
  <c r="I105" i="36"/>
  <c r="I104" i="36"/>
  <c r="I101" i="36"/>
  <c r="I79" i="36"/>
  <c r="I76" i="36"/>
  <c r="G138" i="36"/>
  <c r="G130" i="36"/>
  <c r="G127" i="36"/>
  <c r="G119" i="36"/>
  <c r="G122" i="36" s="1"/>
  <c r="G105" i="36"/>
  <c r="G104" i="36"/>
  <c r="G102" i="36"/>
  <c r="G101" i="36"/>
  <c r="G93" i="36"/>
  <c r="G79" i="36"/>
  <c r="G76" i="36"/>
  <c r="G68" i="36"/>
  <c r="I29" i="33"/>
  <c r="G38" i="36" s="1"/>
  <c r="G21" i="36"/>
  <c r="G18" i="36"/>
  <c r="I125" i="36"/>
  <c r="I136" i="36" s="1"/>
  <c r="G125" i="36"/>
  <c r="G136" i="36" s="1"/>
  <c r="I99" i="36"/>
  <c r="I110" i="36" s="1"/>
  <c r="G99" i="36"/>
  <c r="G110" i="36" s="1"/>
  <c r="I75" i="36"/>
  <c r="I87" i="36" s="1"/>
  <c r="G75" i="36"/>
  <c r="G87" i="36" s="1"/>
  <c r="G73" i="36"/>
  <c r="G83" i="36" s="1"/>
  <c r="I33" i="36"/>
  <c r="G33" i="36"/>
  <c r="I31" i="36"/>
  <c r="G31" i="36"/>
  <c r="I29" i="36"/>
  <c r="G29" i="36"/>
  <c r="G25" i="36"/>
  <c r="G7" i="36"/>
  <c r="E130" i="36"/>
  <c r="E127" i="36"/>
  <c r="E105" i="36"/>
  <c r="E104" i="36"/>
  <c r="E101" i="36"/>
  <c r="E76" i="36"/>
  <c r="E79" i="36"/>
  <c r="E125" i="36"/>
  <c r="E136" i="36" s="1"/>
  <c r="E99" i="36"/>
  <c r="E110" i="36" s="1"/>
  <c r="E75" i="36"/>
  <c r="E33" i="36"/>
  <c r="E31" i="36"/>
  <c r="E29" i="36"/>
  <c r="C130" i="36"/>
  <c r="C127" i="36"/>
  <c r="C125" i="36"/>
  <c r="C119" i="36"/>
  <c r="C105" i="36"/>
  <c r="C104" i="36"/>
  <c r="C102" i="36"/>
  <c r="C101" i="36"/>
  <c r="C99" i="36"/>
  <c r="B100" i="36"/>
  <c r="C93" i="36"/>
  <c r="C96" i="36" s="1"/>
  <c r="C79" i="36"/>
  <c r="C77" i="36"/>
  <c r="C76" i="36"/>
  <c r="C75" i="36"/>
  <c r="C73" i="36"/>
  <c r="B74" i="36"/>
  <c r="B84" i="36" s="1"/>
  <c r="B98" i="36" s="1"/>
  <c r="B107" i="36" s="1"/>
  <c r="B124" i="36" s="1"/>
  <c r="B133" i="36" s="1"/>
  <c r="B75" i="36"/>
  <c r="B73" i="36"/>
  <c r="B82" i="36" s="1"/>
  <c r="C68" i="36"/>
  <c r="C38" i="36"/>
  <c r="B35" i="36"/>
  <c r="B112" i="36" s="1"/>
  <c r="B36" i="36"/>
  <c r="B113" i="36" s="1"/>
  <c r="B34" i="36"/>
  <c r="B111" i="36" s="1"/>
  <c r="C33" i="36"/>
  <c r="B32" i="36"/>
  <c r="B99" i="36" s="1"/>
  <c r="B109" i="36" s="1"/>
  <c r="C31" i="36"/>
  <c r="B30" i="36"/>
  <c r="B125" i="36" s="1"/>
  <c r="B135" i="36" s="1"/>
  <c r="C29" i="36"/>
  <c r="K29" i="36" s="1"/>
  <c r="B28" i="36"/>
  <c r="B26" i="36"/>
  <c r="C25" i="36"/>
  <c r="B24" i="36"/>
  <c r="C22" i="36"/>
  <c r="C21" i="36"/>
  <c r="C18" i="36"/>
  <c r="C7" i="36"/>
  <c r="F95" i="35"/>
  <c r="C95" i="35" s="1"/>
  <c r="C92" i="35"/>
  <c r="E115" i="35"/>
  <c r="E112" i="35" s="1"/>
  <c r="F113" i="35"/>
  <c r="F112" i="35" s="1"/>
  <c r="C117" i="35"/>
  <c r="G118" i="35"/>
  <c r="G80" i="35"/>
  <c r="D106" i="35"/>
  <c r="D105" i="35" s="1"/>
  <c r="M104" i="35"/>
  <c r="C103" i="35"/>
  <c r="D102" i="35"/>
  <c r="D101" i="35" s="1"/>
  <c r="F91" i="35"/>
  <c r="D91" i="35"/>
  <c r="C90" i="35"/>
  <c r="M36" i="36"/>
  <c r="M113" i="36" s="1"/>
  <c r="H117" i="35"/>
  <c r="M35" i="36" s="1"/>
  <c r="M112" i="36" s="1"/>
  <c r="H115" i="35"/>
  <c r="M34" i="36" s="1"/>
  <c r="M111" i="36" s="1"/>
  <c r="H113" i="35"/>
  <c r="I36" i="36"/>
  <c r="I113" i="36" s="1"/>
  <c r="G113" i="36"/>
  <c r="H78" i="35"/>
  <c r="I35" i="36" s="1"/>
  <c r="I112" i="36" s="1"/>
  <c r="C78" i="35"/>
  <c r="H76" i="35"/>
  <c r="I34" i="36" s="1"/>
  <c r="I111" i="36" s="1"/>
  <c r="C76" i="35"/>
  <c r="H74" i="35"/>
  <c r="C74" i="35"/>
  <c r="H95" i="35"/>
  <c r="H92" i="35"/>
  <c r="H90" i="35"/>
  <c r="I88" i="35"/>
  <c r="H56" i="35"/>
  <c r="C56" i="35"/>
  <c r="H51" i="35"/>
  <c r="C51" i="35"/>
  <c r="I49" i="35"/>
  <c r="D49" i="35"/>
  <c r="H106" i="35"/>
  <c r="H67" i="35"/>
  <c r="C67" i="35"/>
  <c r="K57" i="35"/>
  <c r="H103" i="35"/>
  <c r="H65" i="35"/>
  <c r="C65" i="35"/>
  <c r="H64" i="35"/>
  <c r="C64" i="35"/>
  <c r="H63" i="35"/>
  <c r="C63" i="35"/>
  <c r="H24" i="35"/>
  <c r="H25" i="35"/>
  <c r="H28" i="35"/>
  <c r="H32" i="35"/>
  <c r="H34" i="35"/>
  <c r="H36" i="35"/>
  <c r="E34" i="36" s="1"/>
  <c r="E111" i="36" s="1"/>
  <c r="H40" i="35"/>
  <c r="C40" i="35"/>
  <c r="C36" i="35"/>
  <c r="C34" i="36" s="1"/>
  <c r="C34" i="35"/>
  <c r="C27" i="36" s="1"/>
  <c r="C25" i="35"/>
  <c r="C24" i="35"/>
  <c r="M24" i="35" s="1"/>
  <c r="C23" i="35"/>
  <c r="C27" i="35"/>
  <c r="C28" i="35"/>
  <c r="C32" i="35"/>
  <c r="H16" i="35"/>
  <c r="H11" i="35"/>
  <c r="I9" i="35"/>
  <c r="C16" i="35"/>
  <c r="D9" i="35"/>
  <c r="C11" i="35"/>
  <c r="O7" i="34"/>
  <c r="M68" i="36" s="1"/>
  <c r="M21" i="36"/>
  <c r="O30" i="34"/>
  <c r="M38" i="36"/>
  <c r="M138" i="36" s="1"/>
  <c r="M18" i="36"/>
  <c r="P8" i="34"/>
  <c r="M11" i="35" l="1"/>
  <c r="M51" i="35"/>
  <c r="K73" i="36"/>
  <c r="K104" i="36"/>
  <c r="I118" i="35"/>
  <c r="M90" i="35"/>
  <c r="K101" i="36"/>
  <c r="K31" i="36"/>
  <c r="M16" i="35"/>
  <c r="H88" i="35"/>
  <c r="H118" i="35" s="1"/>
  <c r="C113" i="35"/>
  <c r="M100" i="36"/>
  <c r="C9" i="35"/>
  <c r="D41" i="35"/>
  <c r="M25" i="35"/>
  <c r="C112" i="36"/>
  <c r="E112" i="36"/>
  <c r="E36" i="36"/>
  <c r="E113" i="36" s="1"/>
  <c r="O31" i="34"/>
  <c r="C74" i="36"/>
  <c r="C85" i="36" s="1"/>
  <c r="C102" i="35"/>
  <c r="M102" i="35" s="1"/>
  <c r="C104" i="35"/>
  <c r="F96" i="35"/>
  <c r="C91" i="35"/>
  <c r="M91" i="35" s="1"/>
  <c r="H49" i="35"/>
  <c r="F88" i="35"/>
  <c r="C49" i="35"/>
  <c r="H9" i="35"/>
  <c r="K33" i="36"/>
  <c r="M12" i="35"/>
  <c r="M56" i="35"/>
  <c r="J17" i="35"/>
  <c r="P23" i="34"/>
  <c r="K99" i="36"/>
  <c r="K125" i="36"/>
  <c r="K7" i="36"/>
  <c r="K18" i="36"/>
  <c r="K102" i="36"/>
  <c r="K105" i="36"/>
  <c r="K77" i="36"/>
  <c r="K80" i="36"/>
  <c r="K75" i="36"/>
  <c r="M117" i="35"/>
  <c r="H73" i="35"/>
  <c r="M95" i="35"/>
  <c r="M93" i="36"/>
  <c r="K21" i="36"/>
  <c r="K79" i="36"/>
  <c r="H26" i="35"/>
  <c r="K25" i="36"/>
  <c r="K10" i="36"/>
  <c r="D57" i="35"/>
  <c r="D80" i="35" s="1"/>
  <c r="J31" i="33" s="1"/>
  <c r="C106" i="35"/>
  <c r="M106" i="35" s="1"/>
  <c r="C26" i="35"/>
  <c r="M27" i="35"/>
  <c r="K76" i="36"/>
  <c r="C136" i="36"/>
  <c r="K136" i="36" s="1"/>
  <c r="K38" i="36"/>
  <c r="C83" i="36"/>
  <c r="K83" i="36" s="1"/>
  <c r="C110" i="36"/>
  <c r="K110" i="36" s="1"/>
  <c r="K119" i="36"/>
  <c r="K130" i="36"/>
  <c r="F17" i="35"/>
  <c r="F41" i="35" s="1"/>
  <c r="M40" i="35"/>
  <c r="M34" i="35"/>
  <c r="M103" i="35"/>
  <c r="C62" i="35"/>
  <c r="M62" i="35" s="1"/>
  <c r="M74" i="35"/>
  <c r="M76" i="35"/>
  <c r="G34" i="36"/>
  <c r="K34" i="36" s="1"/>
  <c r="M78" i="35"/>
  <c r="G35" i="36"/>
  <c r="K35" i="36" s="1"/>
  <c r="G36" i="36"/>
  <c r="K36" i="36" s="1"/>
  <c r="G111" i="36"/>
  <c r="G112" i="36"/>
  <c r="M102" i="36"/>
  <c r="G131" i="36"/>
  <c r="C113" i="36"/>
  <c r="K113" i="36" s="1"/>
  <c r="C111" i="36"/>
  <c r="C19" i="36"/>
  <c r="C117" i="36"/>
  <c r="C122" i="36"/>
  <c r="K68" i="36"/>
  <c r="K93" i="36"/>
  <c r="K127" i="36"/>
  <c r="M71" i="36"/>
  <c r="G117" i="36"/>
  <c r="G126" i="36" s="1"/>
  <c r="G124" i="36" s="1"/>
  <c r="G134" i="36" s="1"/>
  <c r="G22" i="36"/>
  <c r="K22" i="36" s="1"/>
  <c r="G19" i="36"/>
  <c r="G128" i="36"/>
  <c r="G71" i="36"/>
  <c r="G74" i="36"/>
  <c r="G85" i="36" s="1"/>
  <c r="G96" i="36"/>
  <c r="K96" i="36" s="1"/>
  <c r="C90" i="36"/>
  <c r="C71" i="36"/>
  <c r="M113" i="35"/>
  <c r="I57" i="35"/>
  <c r="K80" i="35"/>
  <c r="M67" i="35"/>
  <c r="J57" i="35"/>
  <c r="M52" i="35"/>
  <c r="F80" i="35"/>
  <c r="L31" i="33" s="1"/>
  <c r="M63" i="35"/>
  <c r="M64" i="35"/>
  <c r="M65" i="35"/>
  <c r="C115" i="35"/>
  <c r="M115" i="35" s="1"/>
  <c r="C73" i="35"/>
  <c r="C66" i="35"/>
  <c r="E57" i="35"/>
  <c r="E80" i="35" s="1"/>
  <c r="K31" i="33" s="1"/>
  <c r="D88" i="35"/>
  <c r="M36" i="35"/>
  <c r="M32" i="35"/>
  <c r="M23" i="35"/>
  <c r="M28" i="35"/>
  <c r="H22" i="35"/>
  <c r="I17" i="35"/>
  <c r="H33" i="35"/>
  <c r="K41" i="35"/>
  <c r="C33" i="35"/>
  <c r="E17" i="35"/>
  <c r="C22" i="35"/>
  <c r="I36" i="34"/>
  <c r="I33" i="34"/>
  <c r="L30" i="34"/>
  <c r="K30" i="34"/>
  <c r="J30" i="34"/>
  <c r="I29" i="34"/>
  <c r="I38" i="36" s="1"/>
  <c r="I138" i="36" s="1"/>
  <c r="I22" i="34"/>
  <c r="I18" i="36" s="1"/>
  <c r="I16" i="34"/>
  <c r="I7" i="34" s="1"/>
  <c r="I10" i="36" s="1"/>
  <c r="I13" i="36" s="1"/>
  <c r="I27" i="36" s="1"/>
  <c r="K8" i="34"/>
  <c r="K7" i="34"/>
  <c r="K23" i="34" s="1"/>
  <c r="J7" i="34"/>
  <c r="I68" i="36" s="1"/>
  <c r="I90" i="36" s="1"/>
  <c r="I100" i="36" s="1"/>
  <c r="F7" i="34"/>
  <c r="E7" i="34"/>
  <c r="F8" i="34"/>
  <c r="E102" i="36"/>
  <c r="G30" i="34"/>
  <c r="E77" i="36"/>
  <c r="D36" i="34"/>
  <c r="E21" i="36"/>
  <c r="D29" i="34"/>
  <c r="D22" i="34"/>
  <c r="D16" i="34"/>
  <c r="Q30" i="33"/>
  <c r="P30" i="33"/>
  <c r="Q22" i="33"/>
  <c r="P22" i="33"/>
  <c r="O22" i="33"/>
  <c r="Q35" i="33"/>
  <c r="P35" i="33"/>
  <c r="O35" i="33"/>
  <c r="Q33" i="33"/>
  <c r="P33" i="33"/>
  <c r="O33" i="33"/>
  <c r="Q29" i="33"/>
  <c r="O29" i="33"/>
  <c r="Q16" i="33"/>
  <c r="P16" i="33"/>
  <c r="O16" i="33"/>
  <c r="Q12" i="33"/>
  <c r="Q8" i="33" s="1"/>
  <c r="P11" i="33"/>
  <c r="P8" i="33" s="1"/>
  <c r="M117" i="36" l="1"/>
  <c r="G31" i="33"/>
  <c r="E31" i="33"/>
  <c r="E41" i="35"/>
  <c r="T30" i="34"/>
  <c r="U30" i="34"/>
  <c r="M126" i="36"/>
  <c r="K85" i="36"/>
  <c r="K112" i="36"/>
  <c r="I80" i="35"/>
  <c r="J80" i="35"/>
  <c r="J41" i="35"/>
  <c r="I41" i="35"/>
  <c r="S16" i="34"/>
  <c r="E87" i="36"/>
  <c r="C87" i="36"/>
  <c r="K87" i="36" s="1"/>
  <c r="S36" i="34"/>
  <c r="M96" i="36"/>
  <c r="E68" i="36"/>
  <c r="E90" i="36" s="1"/>
  <c r="E100" i="36" s="1"/>
  <c r="T7" i="34"/>
  <c r="E38" i="36"/>
  <c r="S29" i="34"/>
  <c r="V30" i="34"/>
  <c r="U8" i="34"/>
  <c r="F23" i="34"/>
  <c r="U7" i="34"/>
  <c r="I21" i="36"/>
  <c r="S33" i="34"/>
  <c r="E18" i="36"/>
  <c r="S22" i="34"/>
  <c r="I7" i="36"/>
  <c r="C17" i="35"/>
  <c r="C41" i="35" s="1"/>
  <c r="C88" i="35"/>
  <c r="M88" i="35" s="1"/>
  <c r="C101" i="35"/>
  <c r="M101" i="35" s="1"/>
  <c r="I19" i="36"/>
  <c r="M26" i="35"/>
  <c r="M49" i="35"/>
  <c r="N7" i="34"/>
  <c r="M10" i="36" s="1"/>
  <c r="N23" i="34"/>
  <c r="I23" i="34"/>
  <c r="D7" i="34"/>
  <c r="S7" i="34" s="1"/>
  <c r="D23" i="34"/>
  <c r="K88" i="36"/>
  <c r="M9" i="35"/>
  <c r="G31" i="34"/>
  <c r="L31" i="34"/>
  <c r="K111" i="36"/>
  <c r="Q31" i="34"/>
  <c r="N31" i="34" s="1"/>
  <c r="D96" i="35"/>
  <c r="D118" i="35" s="1"/>
  <c r="Q7" i="33"/>
  <c r="Q23" i="33" s="1"/>
  <c r="P7" i="33"/>
  <c r="P23" i="33" s="1"/>
  <c r="N29" i="33"/>
  <c r="N16" i="33"/>
  <c r="O7" i="33"/>
  <c r="O23" i="33" s="1"/>
  <c r="E93" i="36"/>
  <c r="E96" i="36" s="1"/>
  <c r="G12" i="34"/>
  <c r="Q8" i="34"/>
  <c r="I93" i="36"/>
  <c r="I96" i="36" s="1"/>
  <c r="I98" i="36" s="1"/>
  <c r="I108" i="36" s="1"/>
  <c r="L12" i="34"/>
  <c r="Q31" i="33"/>
  <c r="I31" i="33"/>
  <c r="O31" i="33"/>
  <c r="E96" i="35"/>
  <c r="E118" i="35" s="1"/>
  <c r="N33" i="33"/>
  <c r="N35" i="33"/>
  <c r="N22" i="33"/>
  <c r="K26" i="36"/>
  <c r="K133" i="36" s="1"/>
  <c r="G27" i="36"/>
  <c r="K27" i="36" s="1"/>
  <c r="E22" i="36"/>
  <c r="I77" i="36"/>
  <c r="I22" i="36"/>
  <c r="I102" i="36"/>
  <c r="E71" i="36"/>
  <c r="I71" i="36"/>
  <c r="K74" i="36"/>
  <c r="K122" i="36"/>
  <c r="K19" i="36"/>
  <c r="C128" i="36"/>
  <c r="K71" i="36"/>
  <c r="C100" i="36"/>
  <c r="C126" i="36"/>
  <c r="K126" i="36" s="1"/>
  <c r="K117" i="36"/>
  <c r="K138" i="36"/>
  <c r="G90" i="36"/>
  <c r="G100" i="36" s="1"/>
  <c r="G98" i="36" s="1"/>
  <c r="G108" i="36" s="1"/>
  <c r="F118" i="35"/>
  <c r="C105" i="35"/>
  <c r="M105" i="35" s="1"/>
  <c r="M66" i="35"/>
  <c r="H57" i="35"/>
  <c r="M73" i="35"/>
  <c r="C57" i="35"/>
  <c r="C112" i="35"/>
  <c r="M33" i="35"/>
  <c r="M22" i="35"/>
  <c r="H17" i="35"/>
  <c r="I30" i="34"/>
  <c r="D30" i="34"/>
  <c r="M19" i="36" l="1"/>
  <c r="F31" i="33"/>
  <c r="E31" i="34"/>
  <c r="K31" i="34"/>
  <c r="F31" i="34"/>
  <c r="J31" i="34"/>
  <c r="U23" i="34"/>
  <c r="S23" i="34"/>
  <c r="M27" i="36"/>
  <c r="H80" i="35"/>
  <c r="H41" i="35"/>
  <c r="E98" i="36"/>
  <c r="E108" i="36" s="1"/>
  <c r="M108" i="36"/>
  <c r="S30" i="34"/>
  <c r="V12" i="34"/>
  <c r="V31" i="34"/>
  <c r="I73" i="36"/>
  <c r="I25" i="36"/>
  <c r="E10" i="36"/>
  <c r="E13" i="36" s="1"/>
  <c r="E27" i="36" s="1"/>
  <c r="C96" i="35"/>
  <c r="M7" i="36"/>
  <c r="M119" i="36"/>
  <c r="M122" i="36" s="1"/>
  <c r="Q23" i="34"/>
  <c r="E117" i="36"/>
  <c r="E126" i="36" s="1"/>
  <c r="N23" i="33"/>
  <c r="N7" i="33"/>
  <c r="G8" i="34"/>
  <c r="G7" i="34"/>
  <c r="I117" i="36"/>
  <c r="I126" i="36" s="1"/>
  <c r="L8" i="34"/>
  <c r="L7" i="34"/>
  <c r="K90" i="36"/>
  <c r="C98" i="36"/>
  <c r="K100" i="36"/>
  <c r="K128" i="36"/>
  <c r="C131" i="36"/>
  <c r="K131" i="36" s="1"/>
  <c r="C124" i="36"/>
  <c r="M57" i="35"/>
  <c r="C80" i="35"/>
  <c r="M112" i="35"/>
  <c r="M17" i="35"/>
  <c r="P31" i="33" l="1"/>
  <c r="D31" i="33"/>
  <c r="N31" i="33" s="1"/>
  <c r="D31" i="34"/>
  <c r="T31" i="34"/>
  <c r="U31" i="34"/>
  <c r="M128" i="36"/>
  <c r="M131" i="36" s="1"/>
  <c r="M134" i="36"/>
  <c r="I31" i="34"/>
  <c r="M80" i="35"/>
  <c r="M41" i="35"/>
  <c r="C118" i="35"/>
  <c r="M118" i="35" s="1"/>
  <c r="M96" i="35"/>
  <c r="V7" i="34"/>
  <c r="V8" i="34"/>
  <c r="E19" i="36"/>
  <c r="I83" i="36"/>
  <c r="I74" i="36"/>
  <c r="I85" i="36" s="1"/>
  <c r="M25" i="36"/>
  <c r="E73" i="36"/>
  <c r="E25" i="36"/>
  <c r="E7" i="36"/>
  <c r="I119" i="36"/>
  <c r="I122" i="36" s="1"/>
  <c r="I128" i="36" s="1"/>
  <c r="I131" i="36" s="1"/>
  <c r="L23" i="34"/>
  <c r="E119" i="36"/>
  <c r="E122" i="36" s="1"/>
  <c r="E128" i="36" s="1"/>
  <c r="E131" i="36" s="1"/>
  <c r="G23" i="34"/>
  <c r="C108" i="36"/>
  <c r="K108" i="36" s="1"/>
  <c r="K98" i="36"/>
  <c r="C134" i="36"/>
  <c r="K134" i="36" s="1"/>
  <c r="K124" i="36"/>
  <c r="B114" i="36"/>
  <c r="B126" i="36" s="1"/>
  <c r="B86" i="36"/>
  <c r="B86" i="35"/>
  <c r="C86" i="35" s="1"/>
  <c r="D86" i="35" s="1"/>
  <c r="E86" i="35" s="1"/>
  <c r="F86" i="35" s="1"/>
  <c r="G86" i="35" s="1"/>
  <c r="H86" i="35" s="1"/>
  <c r="I86" i="35" s="1"/>
  <c r="J86" i="35" s="1"/>
  <c r="K86" i="35" s="1"/>
  <c r="L86" i="35" s="1"/>
  <c r="M86" i="35" s="1"/>
  <c r="N86" i="35" s="1"/>
  <c r="O86" i="35" s="1"/>
  <c r="P86" i="35" s="1"/>
  <c r="Q86" i="35" s="1"/>
  <c r="R86" i="35" s="1"/>
  <c r="S86" i="35" s="1"/>
  <c r="T86" i="35" s="1"/>
  <c r="U86" i="35" s="1"/>
  <c r="V86" i="35" s="1"/>
  <c r="W86" i="35" s="1"/>
  <c r="B47" i="35"/>
  <c r="C47" i="35" s="1"/>
  <c r="D47" i="35" s="1"/>
  <c r="E47" i="35" s="1"/>
  <c r="F47" i="35" s="1"/>
  <c r="G47" i="35" s="1"/>
  <c r="H47" i="35" s="1"/>
  <c r="I47" i="35" s="1"/>
  <c r="J47" i="35" s="1"/>
  <c r="K47" i="35" s="1"/>
  <c r="L47" i="35" s="1"/>
  <c r="M47" i="35" s="1"/>
  <c r="N47" i="35" s="1"/>
  <c r="O47" i="35" s="1"/>
  <c r="P47" i="35" s="1"/>
  <c r="Q47" i="35" s="1"/>
  <c r="R47" i="35" s="1"/>
  <c r="S47" i="35" s="1"/>
  <c r="T47" i="35" s="1"/>
  <c r="U47" i="35" s="1"/>
  <c r="V47" i="35" s="1"/>
  <c r="W47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48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S31" i="34" l="1"/>
  <c r="V23" i="34"/>
  <c r="E83" i="36"/>
  <c r="E74" i="36"/>
  <c r="E85" i="36" s="1"/>
  <c r="M83" i="36"/>
  <c r="M85" i="36"/>
  <c r="I124" i="36"/>
  <c r="I134" i="36" s="1"/>
  <c r="E124" i="36"/>
  <c r="E134" i="36" s="1"/>
  <c r="G5" i="36"/>
  <c r="K5" i="36"/>
  <c r="A87" i="35"/>
  <c r="D28" i="33"/>
  <c r="I28" i="33"/>
  <c r="N28" i="33"/>
  <c r="D27" i="33"/>
  <c r="E26" i="33"/>
  <c r="D26" i="33" s="1"/>
  <c r="I27" i="33"/>
  <c r="I26" i="33"/>
  <c r="N27" i="33" l="1"/>
  <c r="I27" i="34"/>
  <c r="J26" i="34"/>
  <c r="I26" i="34" s="1"/>
  <c r="T27" i="34"/>
  <c r="D27" i="34"/>
  <c r="E26" i="34"/>
  <c r="T26" i="34" l="1"/>
  <c r="S27" i="34"/>
  <c r="D26" i="34"/>
  <c r="S26" i="34" l="1"/>
</calcChain>
</file>

<file path=xl/sharedStrings.xml><?xml version="1.0" encoding="utf-8"?>
<sst xmlns="http://schemas.openxmlformats.org/spreadsheetml/2006/main" count="675" uniqueCount="285">
  <si>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</si>
  <si>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</si>
  <si>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</si>
  <si>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</si>
  <si>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</si>
  <si>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</si>
  <si>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</si>
  <si>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</si>
  <si>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</si>
  <si>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</si>
  <si>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</si>
  <si>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</si>
  <si>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</si>
  <si>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</si>
  <si>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</si>
  <si>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</si>
  <si>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</si>
  <si>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</si>
  <si>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</si>
  <si>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</si>
  <si>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</si>
  <si>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</si>
  <si>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</si>
  <si>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2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</si>
  <si>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</si>
  <si>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</si>
  <si>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</si>
  <si>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</si>
  <si>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</si>
  <si>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</si>
  <si>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</si>
  <si>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</si>
  <si>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</si>
  <si>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</si>
  <si>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</si>
  <si>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</si>
  <si>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</si>
  <si>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</si>
  <si>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</si>
  <si>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</si>
  <si>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</si>
  <si>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</si>
  <si>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</si>
  <si>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</si>
  <si>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</si>
  <si>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</si>
  <si>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</si>
  <si>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</si>
  <si>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</si>
  <si>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</si>
  <si>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</si>
  <si>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</si>
  <si>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</si>
  <si>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</si>
  <si>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</si>
  <si>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</si>
  <si>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</si>
  <si>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</si>
  <si>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</si>
  <si>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</si>
  <si>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</si>
  <si>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</si>
  <si>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</si>
  <si>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</si>
  <si>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</si>
  <si>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</si>
  <si>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</si>
  <si>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</si>
  <si>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</si>
  <si>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</si>
  <si>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</si>
  <si>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</si>
  <si>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</si>
  <si>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</si>
  <si>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</si>
  <si>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</si>
  <si>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</si>
  <si>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</si>
  <si>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</si>
  <si>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</si>
  <si>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</si>
  <si>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</si>
  <si>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</si>
  <si>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</si>
  <si>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</si>
  <si>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</si>
  <si>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</si>
  <si>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</si>
  <si>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</si>
  <si>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</si>
  <si>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</si>
  <si>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</si>
  <si>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</si>
  <si>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</si>
  <si>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</si>
  <si>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</si>
  <si>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</si>
  <si>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</si>
  <si>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</si>
  <si>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</si>
  <si>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</si>
  <si>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</si>
  <si>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</si>
  <si>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</si>
  <si>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</si>
  <si>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</si>
  <si>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</si>
  <si>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</si>
  <si>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</si>
  <si>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</si>
  <si>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</si>
  <si>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</si>
  <si>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</si>
  <si>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</si>
  <si>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</si>
  <si>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</si>
  <si>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</si>
  <si>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</si>
  <si>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</si>
  <si>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</si>
  <si>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</si>
  <si>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</si>
  <si>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</si>
  <si>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</si>
  <si>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</si>
  <si>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</si>
  <si>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</si>
  <si>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</si>
  <si>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</si>
  <si>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</si>
  <si>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</si>
  <si>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</si>
  <si>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</si>
  <si>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</si>
  <si>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</si>
  <si>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</si>
  <si>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</si>
  <si>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</si>
  <si>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</si>
  <si>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</si>
  <si>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</si>
  <si>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</si>
  <si>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</si>
  <si>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</si>
  <si>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</si>
  <si>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</si>
  <si>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</si>
  <si>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</si>
  <si>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</si>
  <si>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</si>
  <si>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</si>
  <si>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</si>
  <si>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</si>
  <si>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</si>
  <si>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</si>
  <si>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</si>
  <si>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</si>
  <si>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</si>
  <si>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</si>
  <si>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</si>
  <si>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</si>
  <si>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</si>
  <si>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</si>
  <si>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</si>
  <si>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</si>
  <si>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</si>
  <si>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</si>
  <si>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</si>
  <si>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</si>
  <si>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</si>
  <si>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</si>
  <si>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</si>
  <si>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</si>
  <si>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</si>
  <si>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</si>
  <si>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</si>
  <si>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</si>
  <si>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</si>
  <si>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</si>
  <si>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</si>
  <si>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</si>
  <si>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</si>
  <si>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</si>
  <si>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</si>
  <si>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</si>
  <si>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</si>
  <si>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</si>
  <si>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</si>
  <si>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</si>
  <si>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</si>
  <si>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</si>
  <si>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</si>
  <si>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</si>
  <si>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</si>
  <si>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</si>
  <si>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</si>
  <si>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</si>
  <si>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</si>
  <si>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</si>
  <si>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</si>
  <si>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</si>
  <si>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</si>
  <si>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</si>
  <si>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</si>
  <si>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</si>
  <si>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</si>
  <si>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</si>
  <si>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</si>
  <si>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</si>
  <si>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</si>
  <si>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</si>
  <si>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</si>
  <si>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</si>
  <si>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</si>
  <si>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</si>
  <si>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</si>
  <si>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</si>
  <si>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</si>
  <si>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</si>
  <si>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</si>
  <si>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</si>
  <si>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</si>
  <si>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</si>
  <si>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</si>
  <si>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</si>
  <si>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</si>
  <si>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</si>
  <si>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</si>
  <si>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</si>
  <si>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</si>
  <si>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</si>
  <si>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</si>
  <si>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</si>
  <si>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"Металлэнергофинанс" (ОАО "Шахта Алардинская")</t>
  </si>
  <si>
    <t>ООО "Лукойл-Энергосервис"( ООО "Разрез Пермяковский")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</si>
  <si>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</si>
  <si>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</si>
  <si>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</si>
  <si>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</si>
  <si>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</si>
  <si>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</si>
  <si>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</si>
  <si>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</si>
  <si>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</si>
  <si>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</si>
  <si>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</si>
  <si>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</si>
  <si>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</si>
  <si>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</si>
  <si>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</si>
  <si>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</si>
  <si>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</si>
  <si>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</si>
  <si>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Таблица П 1.5</t>
  </si>
  <si>
    <t>Таблица П1.4</t>
  </si>
  <si>
    <t>3.2.11</t>
  </si>
  <si>
    <t>ООО "КЭнК"</t>
  </si>
  <si>
    <t>ПАО "ФСК ЕЭС"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</si>
  <si>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</si>
  <si>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</si>
  <si>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</si>
  <si>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</si>
  <si>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</si>
  <si>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АО "ЭнергоПаритет"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</si>
  <si>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</si>
  <si>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</si>
  <si>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</si>
  <si>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</si>
  <si>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</si>
  <si>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</si>
  <si>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</si>
  <si>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ЗАО "ЭПК"</t>
  </si>
  <si>
    <t>Потребители ПАО "Кузбассэнергосбыт"</t>
  </si>
  <si>
    <t>АО "Система"</t>
  </si>
  <si>
    <t>ООО "Регионэнергосеть"</t>
  </si>
  <si>
    <t>27.2.4</t>
  </si>
  <si>
    <t>ПАО "Россети Сибирь"-"Кузбассэнерго-РЭС"</t>
  </si>
  <si>
    <t>2.2.2</t>
  </si>
  <si>
    <t>покупка у сбытовой компании АО "Энергопромышленная компания"</t>
  </si>
  <si>
    <t>ПАО "Россети Сибирь"- "Кузбассэнерго-РЭС"</t>
  </si>
  <si>
    <t>АО "ЭПК"</t>
  </si>
  <si>
    <t>Факт 1 полугодие 2022г.</t>
  </si>
  <si>
    <t>Факт 2 полугодие 2022г.</t>
  </si>
  <si>
    <t>ФАКТ 2022 год</t>
  </si>
  <si>
    <t>Отпуск (передача) электроэнергии территориальной сетевой организацией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</si>
</sst>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  <numFmt numFmtId="169" formatCode="#,##0.000000"/>
    <numFmt numFmtId="170" formatCode="0.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_([$€-2]* #,##0.00_);_([$€-2]* \(#,##0.00\);_([$€-2]* &quot;-&quot;??_)"/>
    <numFmt numFmtId="177" formatCode="_-* #,##0.00\ _₽_-;\-* #,##0.00\ _₽_-;_-* &quot;-&quot;??\ _₽_-;_-@_-"/>
    <numFmt numFmtId="178" formatCode="_-* #,##0.00\ _р_у_б_._-;\-* #,##0.00\ _р_у_б_._-;_-* &quot;-&quot;??\ _р_у_б_._-;_-@_-"/>
    <numFmt numFmtId="179" formatCode="#,##0.0000"/>
    <numFmt numFmtId="180" formatCode="0.00000"/>
  </numFmts>
  <fonts count="8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sz val="11"/>
      <color rgb="FFFF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392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0" fontId="10" fillId="0" borderId="27" applyBorder="0">
      <alignment horizontal="center" vertical="center" wrapText="1"/>
    </xf>
    <xf numFmtId="4" fontId="11" fillId="3" borderId="1" applyBorder="0">
      <alignment horizontal="right"/>
    </xf>
    <xf numFmtId="4" fontId="11" fillId="4" borderId="4" applyBorder="0">
      <alignment horizontal="right"/>
    </xf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8" fillId="0" borderId="38">
      <protection locked="0"/>
    </xf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1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1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1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1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2" fillId="21" borderId="0" applyNumberFormat="0" applyBorder="0" applyAlignment="0" applyProtection="0"/>
    <xf numFmtId="0" fontId="23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8" borderId="0" applyNumberFormat="0" applyBorder="0" applyAlignment="0" applyProtection="0"/>
    <xf numFmtId="0" fontId="23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3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6" fillId="0" borderId="0"/>
    <xf numFmtId="0" fontId="17" fillId="0" borderId="0"/>
    <xf numFmtId="0" fontId="27" fillId="0" borderId="0"/>
    <xf numFmtId="0" fontId="28" fillId="0" borderId="0"/>
    <xf numFmtId="0" fontId="29" fillId="0" borderId="0"/>
    <xf numFmtId="0" fontId="30" fillId="0" borderId="0" applyNumberFormat="0">
      <alignment horizontal="left"/>
    </xf>
    <xf numFmtId="4" fontId="31" fillId="3" borderId="39" applyNumberFormat="0" applyProtection="0">
      <alignment vertical="center"/>
    </xf>
    <xf numFmtId="4" fontId="32" fillId="3" borderId="39" applyNumberFormat="0" applyProtection="0">
      <alignment vertical="center"/>
    </xf>
    <xf numFmtId="4" fontId="31" fillId="3" borderId="39" applyNumberFormat="0" applyProtection="0">
      <alignment horizontal="left" vertical="center" indent="1"/>
    </xf>
    <xf numFmtId="4" fontId="31" fillId="3" borderId="39" applyNumberFormat="0" applyProtection="0">
      <alignment horizontal="left" vertical="center" indent="1"/>
    </xf>
    <xf numFmtId="0" fontId="24" fillId="25" borderId="39" applyNumberFormat="0" applyProtection="0">
      <alignment horizontal="left" vertical="center" indent="1"/>
    </xf>
    <xf numFmtId="4" fontId="31" fillId="26" borderId="39" applyNumberFormat="0" applyProtection="0">
      <alignment horizontal="right" vertical="center"/>
    </xf>
    <xf numFmtId="4" fontId="31" fillId="27" borderId="39" applyNumberFormat="0" applyProtection="0">
      <alignment horizontal="right" vertical="center"/>
    </xf>
    <xf numFmtId="4" fontId="31" fillId="28" borderId="39" applyNumberFormat="0" applyProtection="0">
      <alignment horizontal="right" vertical="center"/>
    </xf>
    <xf numFmtId="4" fontId="31" fillId="29" borderId="39" applyNumberFormat="0" applyProtection="0">
      <alignment horizontal="right" vertical="center"/>
    </xf>
    <xf numFmtId="4" fontId="31" fillId="30" borderId="39" applyNumberFormat="0" applyProtection="0">
      <alignment horizontal="right" vertical="center"/>
    </xf>
    <xf numFmtId="4" fontId="31" fillId="31" borderId="39" applyNumberFormat="0" applyProtection="0">
      <alignment horizontal="right" vertical="center"/>
    </xf>
    <xf numFmtId="4" fontId="31" fillId="32" borderId="39" applyNumberFormat="0" applyProtection="0">
      <alignment horizontal="right" vertical="center"/>
    </xf>
    <xf numFmtId="4" fontId="31" fillId="33" borderId="39" applyNumberFormat="0" applyProtection="0">
      <alignment horizontal="right" vertical="center"/>
    </xf>
    <xf numFmtId="4" fontId="31" fillId="34" borderId="39" applyNumberFormat="0" applyProtection="0">
      <alignment horizontal="right" vertical="center"/>
    </xf>
    <xf numFmtId="4" fontId="33" fillId="35" borderId="39" applyNumberFormat="0" applyProtection="0">
      <alignment horizontal="left" vertical="center" indent="1"/>
    </xf>
    <xf numFmtId="4" fontId="31" fillId="36" borderId="40" applyNumberFormat="0" applyProtection="0">
      <alignment horizontal="left" vertical="center" indent="1"/>
    </xf>
    <xf numFmtId="4" fontId="34" fillId="37" borderId="0" applyNumberFormat="0" applyProtection="0">
      <alignment horizontal="left" vertical="center" indent="1"/>
    </xf>
    <xf numFmtId="0" fontId="24" fillId="25" borderId="39" applyNumberFormat="0" applyProtection="0">
      <alignment horizontal="left" vertical="center" indent="1"/>
    </xf>
    <xf numFmtId="4" fontId="35" fillId="36" borderId="39" applyNumberFormat="0" applyProtection="0">
      <alignment horizontal="left" vertical="center" indent="1"/>
    </xf>
    <xf numFmtId="4" fontId="35" fillId="38" borderId="39" applyNumberFormat="0" applyProtection="0">
      <alignment horizontal="left" vertical="center" indent="1"/>
    </xf>
    <xf numFmtId="0" fontId="24" fillId="38" borderId="39" applyNumberFormat="0" applyProtection="0">
      <alignment horizontal="left" vertical="center" indent="1"/>
    </xf>
    <xf numFmtId="0" fontId="24" fillId="38" borderId="39" applyNumberFormat="0" applyProtection="0">
      <alignment horizontal="left" vertical="center" indent="1"/>
    </xf>
    <xf numFmtId="0" fontId="24" fillId="39" borderId="39" applyNumberFormat="0" applyProtection="0">
      <alignment horizontal="left" vertical="center" indent="1"/>
    </xf>
    <xf numFmtId="0" fontId="24" fillId="39" borderId="39" applyNumberFormat="0" applyProtection="0">
      <alignment horizontal="left" vertical="center" indent="1"/>
    </xf>
    <xf numFmtId="0" fontId="24" fillId="40" borderId="39" applyNumberFormat="0" applyProtection="0">
      <alignment horizontal="left" vertical="center" indent="1"/>
    </xf>
    <xf numFmtId="0" fontId="24" fillId="40" borderId="39" applyNumberFormat="0" applyProtection="0">
      <alignment horizontal="left" vertical="center" indent="1"/>
    </xf>
    <xf numFmtId="0" fontId="24" fillId="25" borderId="39" applyNumberFormat="0" applyProtection="0">
      <alignment horizontal="left" vertical="center" indent="1"/>
    </xf>
    <xf numFmtId="0" fontId="24" fillId="25" borderId="39" applyNumberFormat="0" applyProtection="0">
      <alignment horizontal="left" vertical="center" indent="1"/>
    </xf>
    <xf numFmtId="4" fontId="31" fillId="41" borderId="39" applyNumberFormat="0" applyProtection="0">
      <alignment vertical="center"/>
    </xf>
    <xf numFmtId="4" fontId="32" fillId="41" borderId="39" applyNumberFormat="0" applyProtection="0">
      <alignment vertical="center"/>
    </xf>
    <xf numFmtId="4" fontId="31" fillId="41" borderId="39" applyNumberFormat="0" applyProtection="0">
      <alignment horizontal="left" vertical="center" indent="1"/>
    </xf>
    <xf numFmtId="4" fontId="31" fillId="41" borderId="39" applyNumberFormat="0" applyProtection="0">
      <alignment horizontal="left" vertical="center" indent="1"/>
    </xf>
    <xf numFmtId="4" fontId="31" fillId="36" borderId="39" applyNumberFormat="0" applyProtection="0">
      <alignment horizontal="right" vertical="center"/>
    </xf>
    <xf numFmtId="4" fontId="32" fillId="36" borderId="39" applyNumberFormat="0" applyProtection="0">
      <alignment horizontal="right" vertical="center"/>
    </xf>
    <xf numFmtId="0" fontId="24" fillId="25" borderId="39" applyNumberFormat="0" applyProtection="0">
      <alignment horizontal="left" vertical="center" indent="1"/>
    </xf>
    <xf numFmtId="0" fontId="24" fillId="25" borderId="39" applyNumberFormat="0" applyProtection="0">
      <alignment horizontal="left" vertical="center" indent="1"/>
    </xf>
    <xf numFmtId="0" fontId="24" fillId="25" borderId="39" applyNumberFormat="0" applyProtection="0">
      <alignment horizontal="left" vertical="center" indent="1"/>
    </xf>
    <xf numFmtId="0" fontId="36" fillId="0" borderId="0"/>
    <xf numFmtId="4" fontId="37" fillId="36" borderId="39" applyNumberFormat="0" applyProtection="0">
      <alignment horizontal="right" vertical="center"/>
    </xf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3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48" borderId="0" applyNumberFormat="0" applyBorder="0" applyAlignment="0" applyProtection="0"/>
    <xf numFmtId="0" fontId="23" fillId="17" borderId="0" applyNumberFormat="0" applyBorder="0" applyAlignment="0" applyProtection="0"/>
    <xf numFmtId="0" fontId="22" fillId="48" borderId="0" applyNumberFormat="0" applyBorder="0" applyAlignment="0" applyProtection="0"/>
    <xf numFmtId="175" fontId="38" fillId="0" borderId="41">
      <protection locked="0"/>
    </xf>
    <xf numFmtId="0" fontId="39" fillId="14" borderId="42" applyNumberFormat="0" applyAlignment="0" applyProtection="0"/>
    <xf numFmtId="0" fontId="40" fillId="8" borderId="43" applyNumberFormat="0" applyAlignment="0" applyProtection="0"/>
    <xf numFmtId="0" fontId="39" fillId="14" borderId="42" applyNumberFormat="0" applyAlignment="0" applyProtection="0"/>
    <xf numFmtId="0" fontId="41" fillId="49" borderId="39" applyNumberFormat="0" applyAlignment="0" applyProtection="0"/>
    <xf numFmtId="0" fontId="42" fillId="12" borderId="44" applyNumberFormat="0" applyAlignment="0" applyProtection="0"/>
    <xf numFmtId="0" fontId="41" fillId="49" borderId="39" applyNumberFormat="0" applyAlignment="0" applyProtection="0"/>
    <xf numFmtId="0" fontId="43" fillId="49" borderId="42" applyNumberFormat="0" applyAlignment="0" applyProtection="0"/>
    <xf numFmtId="0" fontId="44" fillId="12" borderId="43" applyNumberFormat="0" applyAlignment="0" applyProtection="0"/>
    <xf numFmtId="0" fontId="43" fillId="49" borderId="4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Border="0">
      <alignment horizontal="center" vertical="center" wrapText="1"/>
    </xf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7" fillId="0" borderId="45" applyNumberFormat="0" applyFill="0" applyAlignment="0" applyProtection="0"/>
    <xf numFmtId="0" fontId="49" fillId="0" borderId="47" applyNumberFormat="0" applyFill="0" applyAlignment="0" applyProtection="0"/>
    <xf numFmtId="0" fontId="50" fillId="0" borderId="48" applyNumberFormat="0" applyFill="0" applyAlignment="0" applyProtection="0"/>
    <xf numFmtId="0" fontId="49" fillId="0" borderId="47" applyNumberFormat="0" applyFill="0" applyAlignment="0" applyProtection="0"/>
    <xf numFmtId="0" fontId="51" fillId="0" borderId="49" applyNumberFormat="0" applyFill="0" applyAlignment="0" applyProtection="0"/>
    <xf numFmtId="0" fontId="52" fillId="0" borderId="50" applyNumberFormat="0" applyFill="0" applyAlignment="0" applyProtection="0"/>
    <xf numFmtId="0" fontId="51" fillId="0" borderId="4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53" fillId="50" borderId="41"/>
    <xf numFmtId="0" fontId="54" fillId="0" borderId="51" applyNumberFormat="0" applyFill="0" applyAlignment="0" applyProtection="0"/>
    <xf numFmtId="0" fontId="42" fillId="0" borderId="52" applyNumberFormat="0" applyFill="0" applyAlignment="0" applyProtection="0"/>
    <xf numFmtId="0" fontId="54" fillId="0" borderId="51" applyNumberFormat="0" applyFill="0" applyAlignment="0" applyProtection="0"/>
    <xf numFmtId="0" fontId="55" fillId="51" borderId="53" applyNumberFormat="0" applyAlignment="0" applyProtection="0"/>
    <xf numFmtId="0" fontId="56" fillId="23" borderId="54" applyNumberFormat="0" applyAlignment="0" applyProtection="0"/>
    <xf numFmtId="0" fontId="55" fillId="51" borderId="53" applyNumberFormat="0" applyAlignment="0" applyProtection="0"/>
    <xf numFmtId="0" fontId="57" fillId="2" borderId="0" applyFill="0">
      <alignment wrapText="1"/>
    </xf>
    <xf numFmtId="0" fontId="58" fillId="0" borderId="0">
      <alignment horizontal="center" vertical="top" wrapText="1"/>
    </xf>
    <xf numFmtId="0" fontId="59" fillId="0" borderId="0">
      <alignment horizontal="centerContinuous" vertical="center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63" fillId="20" borderId="0" applyNumberFormat="0" applyBorder="0" applyAlignment="0" applyProtection="0"/>
    <xf numFmtId="0" fontId="62" fillId="47" borderId="0" applyNumberFormat="0" applyBorder="0" applyAlignment="0" applyProtection="0"/>
    <xf numFmtId="0" fontId="6" fillId="0" borderId="0"/>
    <xf numFmtId="0" fontId="6" fillId="0" borderId="0"/>
    <xf numFmtId="176" fontId="6" fillId="0" borderId="0"/>
    <xf numFmtId="0" fontId="64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65" fillId="0" borderId="0"/>
    <xf numFmtId="0" fontId="24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0" borderId="0"/>
    <xf numFmtId="0" fontId="66" fillId="0" borderId="0"/>
    <xf numFmtId="0" fontId="15" fillId="0" borderId="0"/>
    <xf numFmtId="0" fontId="24" fillId="0" borderId="0"/>
    <xf numFmtId="0" fontId="64" fillId="0" borderId="0" applyNumberFormat="0" applyBorder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6" fillId="0" borderId="0"/>
    <xf numFmtId="0" fontId="67" fillId="0" borderId="0"/>
    <xf numFmtId="0" fontId="15" fillId="0" borderId="0"/>
    <xf numFmtId="0" fontId="15" fillId="0" borderId="0"/>
    <xf numFmtId="0" fontId="2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7" fillId="0" borderId="0"/>
    <xf numFmtId="0" fontId="6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8" fillId="0" borderId="0" applyNumberFormat="0" applyFon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24" fillId="0" borderId="0"/>
    <xf numFmtId="0" fontId="24" fillId="0" borderId="0"/>
    <xf numFmtId="0" fontId="70" fillId="7" borderId="0" applyNumberFormat="0" applyBorder="0" applyAlignment="0" applyProtection="0"/>
    <xf numFmtId="0" fontId="71" fillId="52" borderId="0" applyNumberFormat="0" applyBorder="0" applyAlignment="0" applyProtection="0"/>
    <xf numFmtId="0" fontId="70" fillId="7" borderId="0" applyNumberFormat="0" applyBorder="0" applyAlignment="0" applyProtection="0"/>
    <xf numFmtId="170" fontId="72" fillId="3" borderId="37" applyNumberFormat="0" applyBorder="0" applyAlignment="0">
      <alignment vertical="center"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20" borderId="43" applyNumberFormat="0" applyFont="0" applyAlignment="0" applyProtection="0"/>
    <xf numFmtId="0" fontId="24" fillId="20" borderId="42" applyNumberFormat="0" applyFont="0" applyAlignment="0" applyProtection="0"/>
    <xf numFmtId="0" fontId="24" fillId="20" borderId="43" applyNumberFormat="0" applyFont="0" applyAlignment="0" applyProtection="0"/>
    <xf numFmtId="0" fontId="6" fillId="20" borderId="43" applyNumberFormat="0" applyFont="0" applyAlignment="0" applyProtection="0"/>
    <xf numFmtId="0" fontId="24" fillId="20" borderId="4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5" fillId="0" borderId="55" applyNumberFormat="0" applyFill="0" applyAlignment="0" applyProtection="0"/>
    <xf numFmtId="0" fontId="16" fillId="0" borderId="0"/>
    <xf numFmtId="0" fontId="16" fillId="0" borderId="0"/>
    <xf numFmtId="0" fontId="16" fillId="0" borderId="0"/>
    <xf numFmtId="38" fontId="65" fillId="0" borderId="0">
      <alignment vertical="top"/>
    </xf>
    <xf numFmtId="0" fontId="16" fillId="0" borderId="0"/>
    <xf numFmtId="38" fontId="65" fillId="0" borderId="0">
      <alignment vertical="top"/>
    </xf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57" fillId="0" borderId="0">
      <alignment horizontal="center"/>
    </xf>
    <xf numFmtId="164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4" fontId="66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67" fillId="0" borderId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" fontId="11" fillId="2" borderId="0" applyBorder="0">
      <alignment horizontal="right"/>
    </xf>
    <xf numFmtId="4" fontId="11" fillId="2" borderId="1" applyFont="0" applyBorder="0">
      <alignment horizontal="right"/>
    </xf>
    <xf numFmtId="0" fontId="79" fillId="9" borderId="0" applyNumberFormat="0" applyBorder="0" applyAlignment="0" applyProtection="0"/>
    <xf numFmtId="0" fontId="80" fillId="10" borderId="0" applyNumberFormat="0" applyBorder="0" applyAlignment="0" applyProtection="0"/>
    <xf numFmtId="0" fontId="79" fillId="9" borderId="0" applyNumberFormat="0" applyBorder="0" applyAlignment="0" applyProtection="0"/>
    <xf numFmtId="165" fontId="18" fillId="0" borderId="0">
      <protection locked="0"/>
    </xf>
    <xf numFmtId="0" fontId="54" fillId="0" borderId="51" applyNumberFormat="0" applyFill="0" applyAlignment="0" applyProtection="0"/>
    <xf numFmtId="0" fontId="39" fillId="53" borderId="42" applyNumberFormat="0" applyAlignment="0" applyProtection="0"/>
    <xf numFmtId="0" fontId="54" fillId="0" borderId="51" applyNumberFormat="0" applyFill="0" applyAlignment="0" applyProtection="0"/>
    <xf numFmtId="0" fontId="70" fillId="54" borderId="0" applyNumberFormat="0" applyBorder="0" applyAlignment="0" applyProtection="0"/>
    <xf numFmtId="0" fontId="22" fillId="55" borderId="0" applyNumberFormat="0" applyBorder="0" applyAlignment="0" applyProtection="0"/>
    <xf numFmtId="0" fontId="70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56" borderId="43" applyNumberFormat="0" applyAlignment="0" applyProtection="0"/>
    <xf numFmtId="0" fontId="47" fillId="0" borderId="45" applyNumberFormat="0" applyFill="0" applyAlignment="0" applyProtection="0"/>
    <xf numFmtId="0" fontId="24" fillId="56" borderId="43" applyNumberFormat="0" applyAlignment="0" applyProtection="0"/>
    <xf numFmtId="0" fontId="22" fillId="57" borderId="0" applyNumberFormat="0" applyBorder="0" applyAlignment="0" applyProtection="0"/>
    <xf numFmtId="0" fontId="75" fillId="0" borderId="55" applyNumberFormat="0" applyFill="0" applyAlignment="0" applyProtection="0"/>
    <xf numFmtId="0" fontId="55" fillId="58" borderId="53" applyNumberFormat="0" applyAlignment="0" applyProtection="0"/>
    <xf numFmtId="0" fontId="77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4" applyFont="1"/>
    <xf numFmtId="0" fontId="7" fillId="0" borderId="0" xfId="4" applyFont="1" applyAlignment="1">
      <alignment horizontal="center"/>
    </xf>
    <xf numFmtId="2" fontId="7" fillId="0" borderId="0" xfId="4" applyNumberFormat="1" applyFont="1"/>
    <xf numFmtId="0" fontId="7" fillId="0" borderId="0" xfId="4" applyFont="1"/>
    <xf numFmtId="0" fontId="7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7" xfId="4" applyNumberFormat="1" applyFont="1" applyBorder="1" applyAlignment="1">
      <alignment horizontal="center"/>
    </xf>
    <xf numFmtId="2" fontId="7" fillId="0" borderId="1" xfId="4" applyNumberFormat="1" applyFont="1" applyBorder="1" applyAlignment="1">
      <alignment horizontal="center"/>
    </xf>
    <xf numFmtId="2" fontId="7" fillId="0" borderId="8" xfId="4" applyNumberFormat="1" applyFont="1" applyBorder="1" applyAlignment="1">
      <alignment horizontal="center"/>
    </xf>
    <xf numFmtId="0" fontId="7" fillId="0" borderId="12" xfId="4" applyFont="1" applyBorder="1" applyAlignment="1">
      <alignment horizontal="center"/>
    </xf>
    <xf numFmtId="0" fontId="7" fillId="0" borderId="14" xfId="4" applyFont="1" applyBorder="1" applyAlignment="1">
      <alignment horizontal="center"/>
    </xf>
    <xf numFmtId="1" fontId="7" fillId="0" borderId="9" xfId="4" applyNumberFormat="1" applyFont="1" applyBorder="1" applyAlignment="1">
      <alignment horizontal="center"/>
    </xf>
    <xf numFmtId="1" fontId="7" fillId="0" borderId="10" xfId="4" applyNumberFormat="1" applyFont="1" applyBorder="1" applyAlignment="1">
      <alignment horizontal="center"/>
    </xf>
    <xf numFmtId="1" fontId="7" fillId="0" borderId="11" xfId="4" applyNumberFormat="1" applyFont="1" applyBorder="1" applyAlignment="1">
      <alignment horizontal="center"/>
    </xf>
    <xf numFmtId="167" fontId="7" fillId="0" borderId="7" xfId="4" applyNumberFormat="1" applyFont="1" applyBorder="1" applyProtection="1">
      <protection locked="0"/>
    </xf>
    <xf numFmtId="167" fontId="7" fillId="0" borderId="1" xfId="4" applyNumberFormat="1" applyFont="1" applyBorder="1" applyProtection="1">
      <protection locked="0"/>
    </xf>
    <xf numFmtId="168" fontId="7" fillId="0" borderId="8" xfId="4" applyNumberFormat="1" applyFont="1" applyBorder="1" applyProtection="1">
      <protection locked="0"/>
    </xf>
    <xf numFmtId="167" fontId="7" fillId="3" borderId="1" xfId="4" applyNumberFormat="1" applyFont="1" applyFill="1" applyBorder="1" applyProtection="1">
      <protection locked="0"/>
    </xf>
    <xf numFmtId="168" fontId="7" fillId="3" borderId="8" xfId="4" applyNumberFormat="1" applyFont="1" applyFill="1" applyBorder="1" applyProtection="1">
      <protection locked="0"/>
    </xf>
    <xf numFmtId="167" fontId="7" fillId="2" borderId="7" xfId="4" applyNumberFormat="1" applyFont="1" applyFill="1" applyBorder="1" applyProtection="1"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/>
    <xf numFmtId="0" fontId="4" fillId="0" borderId="7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33" xfId="4" applyFont="1" applyBorder="1" applyAlignment="1">
      <alignment horizontal="center"/>
    </xf>
    <xf numFmtId="0" fontId="4" fillId="0" borderId="34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168" fontId="4" fillId="0" borderId="7" xfId="4" applyNumberFormat="1" applyFont="1" applyBorder="1" applyProtection="1">
      <protection locked="0"/>
    </xf>
    <xf numFmtId="168" fontId="4" fillId="0" borderId="1" xfId="4" applyNumberFormat="1" applyFont="1" applyBorder="1" applyProtection="1">
      <protection locked="0"/>
    </xf>
    <xf numFmtId="168" fontId="4" fillId="0" borderId="8" xfId="4" applyNumberFormat="1" applyFont="1" applyBorder="1" applyProtection="1">
      <protection locked="0"/>
    </xf>
    <xf numFmtId="168" fontId="4" fillId="3" borderId="1" xfId="4" applyNumberFormat="1" applyFont="1" applyFill="1" applyBorder="1" applyProtection="1">
      <protection locked="0"/>
    </xf>
    <xf numFmtId="168" fontId="4" fillId="3" borderId="8" xfId="4" applyNumberFormat="1" applyFont="1" applyFill="1" applyBorder="1" applyProtection="1">
      <protection locked="0"/>
    </xf>
    <xf numFmtId="168" fontId="4" fillId="2" borderId="7" xfId="4" applyNumberFormat="1" applyFont="1" applyFill="1" applyBorder="1" applyProtection="1">
      <protection locked="0"/>
    </xf>
    <xf numFmtId="0" fontId="1" fillId="0" borderId="0" xfId="4" applyFont="1" applyAlignment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9" fontId="4" fillId="0" borderId="0" xfId="4" applyNumberFormat="1" applyFont="1" applyProtection="1">
      <protection locked="0"/>
    </xf>
    <xf numFmtId="167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9" fontId="4" fillId="0" borderId="1" xfId="4" applyNumberFormat="1" applyFon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1" fontId="4" fillId="0" borderId="1" xfId="4" applyNumberFormat="1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/>
    </xf>
    <xf numFmtId="1" fontId="4" fillId="0" borderId="0" xfId="4" applyNumberFormat="1" applyFont="1"/>
    <xf numFmtId="167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70" fontId="4" fillId="3" borderId="1" xfId="4" applyNumberFormat="1" applyFont="1" applyFill="1" applyBorder="1" applyProtection="1">
      <protection locked="0"/>
    </xf>
    <xf numFmtId="0" fontId="4" fillId="0" borderId="1" xfId="4" applyFont="1" applyBorder="1" applyProtection="1">
      <protection locked="0"/>
    </xf>
    <xf numFmtId="167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7" fontId="4" fillId="3" borderId="1" xfId="4" applyNumberFormat="1" applyFont="1" applyFill="1" applyBorder="1" applyAlignment="1" applyProtection="1">
      <alignment horizontal="right"/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9" fontId="2" fillId="0" borderId="0" xfId="4" applyNumberFormat="1" applyFont="1"/>
    <xf numFmtId="0" fontId="2" fillId="0" borderId="0" xfId="4" applyFont="1"/>
    <xf numFmtId="169" fontId="1" fillId="0" borderId="9" xfId="4" applyNumberFormat="1" applyFont="1" applyBorder="1" applyAlignment="1">
      <alignment horizontal="center" vertical="center" wrapText="1"/>
    </xf>
    <xf numFmtId="0" fontId="1" fillId="0" borderId="10" xfId="4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169" fontId="1" fillId="0" borderId="18" xfId="4" applyNumberFormat="1" applyFont="1" applyBorder="1" applyAlignment="1">
      <alignment horizontal="center" vertical="center" wrapText="1"/>
    </xf>
    <xf numFmtId="0" fontId="1" fillId="3" borderId="8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7" xfId="4" applyNumberFormat="1" applyFont="1" applyFill="1" applyBorder="1" applyAlignment="1" applyProtection="1">
      <alignment horizontal="center"/>
      <protection locked="0"/>
    </xf>
    <xf numFmtId="0" fontId="1" fillId="3" borderId="2" xfId="4" applyFont="1" applyFill="1" applyBorder="1" applyAlignment="1" applyProtection="1">
      <alignment horizontal="left" vertical="center" wrapText="1"/>
      <protection locked="0"/>
    </xf>
    <xf numFmtId="167" fontId="1" fillId="3" borderId="7" xfId="4" applyNumberFormat="1" applyFont="1" applyFill="1" applyBorder="1" applyProtection="1">
      <protection locked="0"/>
    </xf>
    <xf numFmtId="167" fontId="1" fillId="3" borderId="1" xfId="4" applyNumberFormat="1" applyFont="1" applyFill="1" applyBorder="1" applyProtection="1">
      <protection locked="0"/>
    </xf>
    <xf numFmtId="167" fontId="1" fillId="3" borderId="3" xfId="4" applyNumberFormat="1" applyFont="1" applyFill="1" applyBorder="1" applyProtection="1">
      <protection locked="0"/>
    </xf>
    <xf numFmtId="49" fontId="1" fillId="0" borderId="7" xfId="4" applyNumberFormat="1" applyFont="1" applyBorder="1" applyAlignment="1" applyProtection="1">
      <alignment horizontal="center"/>
      <protection locked="0"/>
    </xf>
    <xf numFmtId="0" fontId="1" fillId="0" borderId="2" xfId="4" applyFont="1" applyBorder="1" applyAlignment="1" applyProtection="1">
      <alignment horizontal="left" vertical="center" wrapText="1"/>
      <protection locked="0"/>
    </xf>
    <xf numFmtId="167" fontId="1" fillId="0" borderId="7" xfId="4" applyNumberFormat="1" applyFont="1" applyBorder="1" applyProtection="1">
      <protection locked="0"/>
    </xf>
    <xf numFmtId="167" fontId="1" fillId="0" borderId="1" xfId="4" applyNumberFormat="1" applyFont="1" applyBorder="1" applyProtection="1">
      <protection locked="0"/>
    </xf>
    <xf numFmtId="0" fontId="1" fillId="0" borderId="36" xfId="4" applyFont="1" applyBorder="1" applyProtection="1">
      <protection locked="0"/>
    </xf>
    <xf numFmtId="167" fontId="1" fillId="0" borderId="3" xfId="4" applyNumberFormat="1" applyFont="1" applyBorder="1" applyProtection="1">
      <protection locked="0"/>
    </xf>
    <xf numFmtId="167" fontId="1" fillId="3" borderId="8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3" borderId="2" xfId="4" applyFont="1" applyFill="1" applyBorder="1" applyAlignment="1" applyProtection="1">
      <alignment vertical="justify"/>
      <protection locked="0"/>
    </xf>
    <xf numFmtId="169" fontId="1" fillId="3" borderId="8" xfId="4" applyNumberFormat="1" applyFont="1" applyFill="1" applyBorder="1" applyProtection="1">
      <protection locked="0"/>
    </xf>
    <xf numFmtId="0" fontId="1" fillId="0" borderId="2" xfId="4" quotePrefix="1" applyFont="1" applyBorder="1" applyAlignment="1" applyProtection="1">
      <alignment horizontal="left" vertical="center" wrapText="1"/>
      <protection locked="0"/>
    </xf>
    <xf numFmtId="49" fontId="1" fillId="2" borderId="7" xfId="4" applyNumberFormat="1" applyFont="1" applyFill="1" applyBorder="1" applyAlignment="1" applyProtection="1">
      <alignment horizontal="center"/>
      <protection locked="0"/>
    </xf>
    <xf numFmtId="0" fontId="1" fillId="2" borderId="2" xfId="4" applyFont="1" applyFill="1" applyBorder="1" applyAlignment="1" applyProtection="1">
      <alignment horizontal="left" vertical="center" wrapText="1"/>
      <protection locked="0"/>
    </xf>
    <xf numFmtId="169" fontId="1" fillId="3" borderId="7" xfId="4" applyNumberFormat="1" applyFont="1" applyFill="1" applyBorder="1" applyProtection="1">
      <protection locked="0"/>
    </xf>
    <xf numFmtId="169" fontId="1" fillId="3" borderId="3" xfId="4" applyNumberFormat="1" applyFont="1" applyFill="1" applyBorder="1" applyProtection="1">
      <protection locked="0"/>
    </xf>
    <xf numFmtId="49" fontId="1" fillId="3" borderId="9" xfId="4" applyNumberFormat="1" applyFont="1" applyFill="1" applyBorder="1" applyAlignment="1" applyProtection="1">
      <alignment horizontal="center"/>
      <protection locked="0"/>
    </xf>
    <xf numFmtId="0" fontId="1" fillId="3" borderId="20" xfId="4" applyFont="1" applyFill="1" applyBorder="1" applyAlignment="1" applyProtection="1">
      <alignment horizontal="left" vertical="center" wrapText="1"/>
      <protection locked="0"/>
    </xf>
    <xf numFmtId="169" fontId="1" fillId="3" borderId="9" xfId="4" applyNumberFormat="1" applyFont="1" applyFill="1" applyBorder="1" applyProtection="1">
      <protection locked="0"/>
    </xf>
    <xf numFmtId="0" fontId="1" fillId="3" borderId="10" xfId="4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169" fontId="1" fillId="3" borderId="18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9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9" fontId="1" fillId="0" borderId="0" xfId="4" applyNumberFormat="1" applyFont="1"/>
    <xf numFmtId="167" fontId="7" fillId="2" borderId="4" xfId="4" applyNumberFormat="1" applyFont="1" applyFill="1" applyBorder="1" applyProtection="1">
      <protection locked="0"/>
    </xf>
    <xf numFmtId="167" fontId="7" fillId="2" borderId="5" xfId="4" applyNumberFormat="1" applyFont="1" applyFill="1" applyBorder="1" applyProtection="1">
      <protection locked="0"/>
    </xf>
    <xf numFmtId="168" fontId="7" fillId="2" borderId="5" xfId="4" applyNumberFormat="1" applyFont="1" applyFill="1" applyBorder="1" applyProtection="1">
      <protection locked="0"/>
    </xf>
    <xf numFmtId="167" fontId="7" fillId="2" borderId="1" xfId="4" applyNumberFormat="1" applyFont="1" applyFill="1" applyBorder="1" applyProtection="1">
      <protection locked="0"/>
    </xf>
    <xf numFmtId="168" fontId="7" fillId="2" borderId="8" xfId="4" applyNumberFormat="1" applyFont="1" applyFill="1" applyBorder="1" applyProtection="1">
      <protection locked="0"/>
    </xf>
    <xf numFmtId="168" fontId="7" fillId="2" borderId="1" xfId="4" applyNumberFormat="1" applyFont="1" applyFill="1" applyBorder="1" applyProtection="1">
      <protection locked="0"/>
    </xf>
    <xf numFmtId="168" fontId="4" fillId="2" borderId="5" xfId="4" applyNumberFormat="1" applyFont="1" applyFill="1" applyBorder="1" applyProtection="1">
      <protection locked="0"/>
    </xf>
    <xf numFmtId="168" fontId="4" fillId="2" borderId="6" xfId="4" applyNumberFormat="1" applyFont="1" applyFill="1" applyBorder="1" applyProtection="1">
      <protection locked="0"/>
    </xf>
    <xf numFmtId="168" fontId="4" fillId="2" borderId="1" xfId="4" applyNumberFormat="1" applyFont="1" applyFill="1" applyBorder="1" applyProtection="1">
      <protection locked="0"/>
    </xf>
    <xf numFmtId="168" fontId="4" fillId="2" borderId="8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7" fontId="1" fillId="2" borderId="23" xfId="4" applyNumberFormat="1" applyFont="1" applyFill="1" applyBorder="1" applyProtection="1">
      <protection locked="0"/>
    </xf>
    <xf numFmtId="167" fontId="1" fillId="2" borderId="35" xfId="4" applyNumberFormat="1" applyFont="1" applyFill="1" applyBorder="1" applyProtection="1">
      <protection locked="0"/>
    </xf>
    <xf numFmtId="167" fontId="1" fillId="2" borderId="7" xfId="4" applyNumberFormat="1" applyFont="1" applyFill="1" applyBorder="1" applyProtection="1">
      <protection locked="0"/>
    </xf>
    <xf numFmtId="167" fontId="1" fillId="2" borderId="3" xfId="4" applyNumberFormat="1" applyFont="1" applyFill="1" applyBorder="1" applyProtection="1">
      <protection locked="0"/>
    </xf>
    <xf numFmtId="0" fontId="7" fillId="0" borderId="4" xfId="4" applyFont="1" applyBorder="1" applyAlignment="1" applyProtection="1">
      <alignment horizontal="center"/>
      <protection locked="0"/>
    </xf>
    <xf numFmtId="0" fontId="7" fillId="0" borderId="6" xfId="4" applyFont="1" applyBorder="1" applyAlignment="1" applyProtection="1">
      <alignment vertical="justify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7" fillId="0" borderId="8" xfId="4" applyFont="1" applyBorder="1" applyAlignment="1" applyProtection="1">
      <alignment vertical="justify"/>
      <protection locked="0"/>
    </xf>
    <xf numFmtId="0" fontId="7" fillId="0" borderId="2" xfId="4" applyFont="1" applyBorder="1" applyAlignment="1" applyProtection="1">
      <alignment horizontal="center"/>
      <protection locked="0"/>
    </xf>
    <xf numFmtId="0" fontId="7" fillId="0" borderId="32" xfId="4" applyFont="1" applyBorder="1" applyAlignment="1" applyProtection="1">
      <alignment horizontal="center"/>
      <protection locked="0"/>
    </xf>
    <xf numFmtId="49" fontId="7" fillId="0" borderId="7" xfId="4" applyNumberFormat="1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4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 applyProtection="1">
      <alignment vertical="justify"/>
      <protection locked="0"/>
    </xf>
    <xf numFmtId="0" fontId="4" fillId="0" borderId="2" xfId="4" applyFont="1" applyBorder="1" applyAlignment="1" applyProtection="1">
      <alignment horizontal="center"/>
      <protection locked="0"/>
    </xf>
    <xf numFmtId="0" fontId="4" fillId="0" borderId="7" xfId="4" applyFont="1" applyBorder="1" applyAlignment="1" applyProtection="1">
      <alignment horizontal="center"/>
      <protection locked="0"/>
    </xf>
    <xf numFmtId="0" fontId="4" fillId="0" borderId="8" xfId="4" applyFont="1" applyBorder="1" applyAlignment="1" applyProtection="1">
      <alignment vertical="justify"/>
      <protection locked="0"/>
    </xf>
    <xf numFmtId="0" fontId="1" fillId="0" borderId="8" xfId="4" applyFont="1" applyBorder="1" applyAlignment="1" applyProtection="1">
      <alignment vertical="justify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25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25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Protection="1">
      <protection locked="0"/>
    </xf>
    <xf numFmtId="0" fontId="4" fillId="0" borderId="1" xfId="4" applyFont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26" xfId="4" applyFont="1" applyBorder="1" applyAlignment="1" applyProtection="1">
      <alignment vertical="justify"/>
      <protection locked="0"/>
    </xf>
    <xf numFmtId="49" fontId="1" fillId="2" borderId="23" xfId="4" applyNumberFormat="1" applyFont="1" applyFill="1" applyBorder="1" applyAlignment="1" applyProtection="1">
      <alignment horizontal="center"/>
      <protection locked="0"/>
    </xf>
    <xf numFmtId="0" fontId="1" fillId="2" borderId="26" xfId="4" applyFont="1" applyFill="1" applyBorder="1" applyAlignment="1" applyProtection="1">
      <alignment horizontal="left" vertical="center" wrapText="1"/>
      <protection locked="0"/>
    </xf>
    <xf numFmtId="0" fontId="1" fillId="2" borderId="2" xfId="4" quotePrefix="1" applyFont="1" applyFill="1" applyBorder="1" applyAlignment="1" applyProtection="1">
      <alignment horizontal="left" vertical="center" wrapText="1"/>
      <protection locked="0"/>
    </xf>
    <xf numFmtId="168" fontId="7" fillId="3" borderId="2" xfId="4" applyNumberFormat="1" applyFont="1" applyFill="1" applyBorder="1" applyProtection="1">
      <protection locked="0"/>
    </xf>
    <xf numFmtId="168" fontId="7" fillId="2" borderId="2" xfId="4" applyNumberFormat="1" applyFont="1" applyFill="1" applyBorder="1" applyProtection="1">
      <protection locked="0"/>
    </xf>
    <xf numFmtId="168" fontId="7" fillId="0" borderId="2" xfId="4" applyNumberFormat="1" applyFont="1" applyBorder="1" applyProtection="1">
      <protection locked="0"/>
    </xf>
    <xf numFmtId="167" fontId="7" fillId="2" borderId="32" xfId="4" applyNumberFormat="1" applyFont="1" applyFill="1" applyBorder="1" applyProtection="1">
      <protection locked="0"/>
    </xf>
    <xf numFmtId="167" fontId="7" fillId="0" borderId="32" xfId="4" applyNumberFormat="1" applyFont="1" applyBorder="1" applyProtection="1">
      <protection locked="0"/>
    </xf>
    <xf numFmtId="167" fontId="7" fillId="2" borderId="15" xfId="4" applyNumberFormat="1" applyFont="1" applyFill="1" applyBorder="1" applyProtection="1">
      <protection locked="0"/>
    </xf>
    <xf numFmtId="0" fontId="1" fillId="3" borderId="3" xfId="4" applyFont="1" applyFill="1" applyBorder="1" applyProtection="1">
      <protection locked="0"/>
    </xf>
    <xf numFmtId="0" fontId="12" fillId="0" borderId="0" xfId="4" applyFont="1" applyProtection="1">
      <protection locked="0"/>
    </xf>
    <xf numFmtId="167" fontId="13" fillId="0" borderId="0" xfId="4" applyNumberFormat="1" applyFont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7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167" fontId="4" fillId="0" borderId="0" xfId="4" applyNumberFormat="1" applyFont="1" applyProtection="1">
      <protection locked="0"/>
    </xf>
    <xf numFmtId="167" fontId="14" fillId="2" borderId="1" xfId="4" applyNumberFormat="1" applyFont="1" applyFill="1" applyBorder="1" applyProtection="1"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0" fontId="4" fillId="0" borderId="8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vertical="center"/>
      <protection locked="0"/>
    </xf>
    <xf numFmtId="0" fontId="4" fillId="0" borderId="8" xfId="4" applyFont="1" applyBorder="1" applyAlignment="1" applyProtection="1">
      <alignment horizontal="left" vertical="center"/>
      <protection locked="0"/>
    </xf>
    <xf numFmtId="168" fontId="4" fillId="0" borderId="0" xfId="4" applyNumberFormat="1" applyFont="1" applyProtection="1">
      <protection locked="0"/>
    </xf>
    <xf numFmtId="0" fontId="2" fillId="3" borderId="8" xfId="4" applyFont="1" applyFill="1" applyBorder="1" applyProtection="1">
      <protection locked="0"/>
    </xf>
    <xf numFmtId="167" fontId="4" fillId="0" borderId="0" xfId="4" applyNumberFormat="1" applyFont="1"/>
    <xf numFmtId="167" fontId="1" fillId="3" borderId="2" xfId="4" applyNumberFormat="1" applyFont="1" applyFill="1" applyBorder="1" applyAlignment="1" applyProtection="1">
      <alignment vertical="justify"/>
      <protection locked="0"/>
    </xf>
    <xf numFmtId="179" fontId="4" fillId="0" borderId="0" xfId="4" applyNumberFormat="1" applyFont="1" applyProtection="1">
      <protection locked="0"/>
    </xf>
    <xf numFmtId="0" fontId="1" fillId="59" borderId="0" xfId="4" applyFont="1" applyFill="1" applyAlignment="1">
      <alignment horizontal="right"/>
    </xf>
    <xf numFmtId="0" fontId="1" fillId="59" borderId="0" xfId="4" applyFont="1" applyFill="1" applyAlignment="1">
      <alignment horizontal="left" vertical="justify"/>
    </xf>
    <xf numFmtId="168" fontId="4" fillId="59" borderId="0" xfId="4" applyNumberFormat="1" applyFont="1" applyFill="1" applyProtection="1">
      <protection locked="0"/>
    </xf>
    <xf numFmtId="0" fontId="4" fillId="59" borderId="0" xfId="4" applyFont="1" applyFill="1" applyProtection="1">
      <protection locked="0"/>
    </xf>
    <xf numFmtId="168" fontId="81" fillId="0" borderId="0" xfId="4" applyNumberFormat="1" applyFont="1"/>
    <xf numFmtId="180" fontId="4" fillId="0" borderId="0" xfId="4" applyNumberFormat="1" applyFont="1" applyProtection="1">
      <protection locked="0"/>
    </xf>
    <xf numFmtId="167" fontId="7" fillId="0" borderId="15" xfId="4" applyNumberFormat="1" applyFont="1" applyBorder="1" applyAlignment="1" applyProtection="1">
      <alignment horizontal="center"/>
      <protection locked="0"/>
    </xf>
    <xf numFmtId="167" fontId="7" fillId="0" borderId="16" xfId="4" applyNumberFormat="1" applyFont="1" applyBorder="1" applyAlignment="1" applyProtection="1">
      <alignment horizontal="center"/>
      <protection locked="0"/>
    </xf>
    <xf numFmtId="167" fontId="7" fillId="0" borderId="17" xfId="4" applyNumberFormat="1" applyFont="1" applyBorder="1" applyAlignment="1" applyProtection="1">
      <alignment horizontal="center"/>
      <protection locked="0"/>
    </xf>
    <xf numFmtId="0" fontId="1" fillId="0" borderId="0" xfId="4" applyFont="1" applyAlignment="1">
      <alignment horizontal="left"/>
    </xf>
    <xf numFmtId="0" fontId="6" fillId="0" borderId="0" xfId="4"/>
    <xf numFmtId="0" fontId="7" fillId="0" borderId="27" xfId="4" applyFont="1" applyBorder="1" applyAlignment="1">
      <alignment horizontal="center" wrapText="1"/>
    </xf>
    <xf numFmtId="0" fontId="7" fillId="0" borderId="23" xfId="4" applyFont="1" applyBorder="1" applyAlignment="1">
      <alignment horizontal="center" wrapText="1"/>
    </xf>
    <xf numFmtId="0" fontId="7" fillId="0" borderId="28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29" xfId="4" applyFont="1" applyBorder="1" applyAlignment="1">
      <alignment horizontal="center" vertical="justify"/>
    </xf>
    <xf numFmtId="0" fontId="7" fillId="0" borderId="30" xfId="4" applyFont="1" applyBorder="1" applyAlignment="1">
      <alignment horizontal="center" vertical="justify"/>
    </xf>
    <xf numFmtId="0" fontId="7" fillId="0" borderId="31" xfId="4" applyFont="1" applyBorder="1" applyAlignment="1">
      <alignment horizontal="center" vertical="justify"/>
    </xf>
    <xf numFmtId="0" fontId="2" fillId="0" borderId="0" xfId="4" applyFont="1"/>
    <xf numFmtId="0" fontId="0" fillId="0" borderId="0" xfId="0"/>
    <xf numFmtId="0" fontId="4" fillId="0" borderId="1" xfId="4" applyFont="1" applyBorder="1"/>
    <xf numFmtId="0" fontId="4" fillId="0" borderId="13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 wrapText="1"/>
    </xf>
    <xf numFmtId="0" fontId="4" fillId="0" borderId="30" xfId="4" applyFont="1" applyBorder="1" applyAlignment="1">
      <alignment horizontal="center" vertical="center" wrapText="1"/>
    </xf>
    <xf numFmtId="0" fontId="4" fillId="0" borderId="31" xfId="4" applyFont="1" applyBorder="1" applyAlignment="1">
      <alignment horizontal="center" vertical="center" wrapText="1"/>
    </xf>
    <xf numFmtId="0" fontId="3" fillId="0" borderId="2" xfId="4" applyFont="1" applyBorder="1" applyAlignment="1" applyProtection="1">
      <alignment horizontal="center" vertical="center" wrapText="1"/>
      <protection locked="0"/>
    </xf>
    <xf numFmtId="0" fontId="3" fillId="0" borderId="25" xfId="4" applyFont="1" applyBorder="1" applyAlignment="1" applyProtection="1">
      <alignment horizontal="center" vertical="center" wrapText="1"/>
      <protection locked="0"/>
    </xf>
    <xf numFmtId="0" fontId="3" fillId="0" borderId="3" xfId="4" applyFont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>
      <alignment horizontal="center" vertical="center" wrapText="1"/>
    </xf>
    <xf numFmtId="167" fontId="4" fillId="0" borderId="1" xfId="4" applyNumberFormat="1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>
      <alignment horizontal="center"/>
    </xf>
    <xf numFmtId="169" fontId="4" fillId="0" borderId="1" xfId="4" applyNumberFormat="1" applyFont="1" applyBorder="1" applyAlignment="1">
      <alignment horizontal="center" vertical="center" wrapText="1"/>
    </xf>
    <xf numFmtId="167" fontId="8" fillId="0" borderId="1" xfId="4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25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wrapText="1"/>
    </xf>
    <xf numFmtId="169" fontId="2" fillId="0" borderId="21" xfId="4" applyNumberFormat="1" applyFont="1" applyBorder="1" applyAlignment="1">
      <alignment horizontal="center" vertical="center" wrapText="1"/>
    </xf>
    <xf numFmtId="169" fontId="2" fillId="0" borderId="5" xfId="4" applyNumberFormat="1" applyFont="1" applyBorder="1" applyAlignment="1">
      <alignment horizontal="center" vertical="center" wrapText="1"/>
    </xf>
    <xf numFmtId="169" fontId="2" fillId="0" borderId="6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4" xfId="4" applyNumberFormat="1" applyFont="1" applyBorder="1" applyAlignment="1">
      <alignment horizontal="center" vertical="center" wrapText="1"/>
    </xf>
    <xf numFmtId="49" fontId="1" fillId="0" borderId="9" xfId="4" applyNumberFormat="1" applyFont="1" applyBorder="1" applyAlignment="1">
      <alignment horizontal="center" vertical="center" wrapText="1"/>
    </xf>
    <xf numFmtId="0" fontId="1" fillId="0" borderId="19" xfId="4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169" fontId="2" fillId="0" borderId="4" xfId="4" applyNumberFormat="1" applyFont="1" applyBorder="1" applyAlignment="1">
      <alignment horizontal="center" vertical="center" wrapText="1"/>
    </xf>
    <xf numFmtId="0" fontId="8" fillId="0" borderId="1" xfId="4" applyFont="1" applyFill="1" applyBorder="1" applyAlignment="1" applyProtection="1">
      <alignment vertical="center"/>
      <protection locked="0"/>
    </xf>
    <xf numFmtId="0" fontId="4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Fill="1" applyBorder="1" applyAlignment="1" applyProtection="1">
      <alignment horizontal="left" vertical="center"/>
      <protection locked="0"/>
    </xf>
    <xf numFmtId="3" fontId="1" fillId="3" borderId="24" xfId="4" applyNumberFormat="1" applyFont="1" applyFill="1" applyBorder="1" applyProtection="1">
      <protection locked="0"/>
    </xf>
  </cellXfs>
  <cellStyles count="392">
    <cellStyle name=" 1" xfId="8" xr:uid="{00000000-0005-0000-0000-000000000000}"/>
    <cellStyle name="_07. расчет тарифа 2007 от 23.08.06 для аудиторов" xfId="9" xr:uid="{00000000-0005-0000-0000-000001000000}"/>
    <cellStyle name="_Агафонов ЛИЗИНГ 19 сентября" xfId="10" xr:uid="{00000000-0005-0000-0000-000002000000}"/>
    <cellStyle name="_Анализ_231207-3 (2)" xfId="11" xr:uid="{00000000-0005-0000-0000-000003000000}"/>
    <cellStyle name="_Заявка Тестова  СКОРРЕКТИРОВАННАЯ" xfId="12" xr:uid="{00000000-0005-0000-0000-000004000000}"/>
    <cellStyle name="_Инвест программа" xfId="13" xr:uid="{00000000-0005-0000-0000-000005000000}"/>
    <cellStyle name="_ИНФОРМАЦИЯ ПО ДОГОВОРАМ ЛИЗИНГА" xfId="14" xr:uid="{00000000-0005-0000-0000-000006000000}"/>
    <cellStyle name="_ИНФОРМАЦИЯ ПО ДОГОВОРАМ ЛИЗИНГА 19 мая" xfId="15" xr:uid="{00000000-0005-0000-0000-000007000000}"/>
    <cellStyle name="_ИНФОРМАЦИЯ ПО ДОГОВОРАМ ЛИЗИНГА 27.04.071" xfId="16" xr:uid="{00000000-0005-0000-0000-000008000000}"/>
    <cellStyle name="_ИНФОРМАЦИЯ ПО ДОГОВОРАМ ЛИЗИНГА1" xfId="17" xr:uid="{00000000-0005-0000-0000-000009000000}"/>
    <cellStyle name="_Копия Программа первоочередных мер_(правка 18 05 06 Усаров_2А_3)" xfId="18" xr:uid="{00000000-0005-0000-0000-00000A000000}"/>
    <cellStyle name="_Копия Свод все сети+" xfId="19" xr:uid="{00000000-0005-0000-0000-00000B000000}"/>
    <cellStyle name="_Копия формы для ФСК" xfId="20" xr:uid="{00000000-0005-0000-0000-00000C000000}"/>
    <cellStyle name="_ЛИЗИНГ" xfId="21" xr:uid="{00000000-0005-0000-0000-00000D000000}"/>
    <cellStyle name="_ЛИЗИНГ Агафонов 15.01.08" xfId="22" xr:uid="{00000000-0005-0000-0000-00000E000000}"/>
    <cellStyle name="_Лизинг справка по забалансу 3 апрель" xfId="23" xr:uid="{00000000-0005-0000-0000-00000F000000}"/>
    <cellStyle name="_Лист1" xfId="24" xr:uid="{00000000-0005-0000-0000-000010000000}"/>
    <cellStyle name="_Макет_Итоговый лист по анализу ИПР" xfId="25" xr:uid="{00000000-0005-0000-0000-000011000000}"/>
    <cellStyle name="_ОКС - программа кап.стройки" xfId="26" xr:uid="{00000000-0005-0000-0000-000012000000}"/>
    <cellStyle name="_Расчет амортизации-ОТПРАВКА" xfId="27" xr:uid="{00000000-0005-0000-0000-000013000000}"/>
    <cellStyle name="_смета расходов по версии ФСТ от 26.09.06 - Звержанская" xfId="28" xr:uid="{00000000-0005-0000-0000-000014000000}"/>
    <cellStyle name="_СМЕТЫ 2005 2006 2007" xfId="29" xr:uid="{00000000-0005-0000-0000-000015000000}"/>
    <cellStyle name="_Справка по забалансу по лизингу" xfId="30" xr:uid="{00000000-0005-0000-0000-000016000000}"/>
    <cellStyle name="_счета 2008 оплаченные в 2007г " xfId="31" xr:uid="{00000000-0005-0000-0000-000017000000}"/>
    <cellStyle name="_ТАРИФ1" xfId="32" xr:uid="{00000000-0005-0000-0000-000018000000}"/>
    <cellStyle name="_Фина план на 2007 год (ФО)" xfId="33" xr:uid="{00000000-0005-0000-0000-000019000000}"/>
    <cellStyle name="_ФП К" xfId="34" xr:uid="{00000000-0005-0000-0000-00001A000000}"/>
    <cellStyle name="_ФП К_к ФСТ" xfId="35" xr:uid="{00000000-0005-0000-0000-00001B000000}"/>
    <cellStyle name="_ФСТ-2007-отправка-сентябрь ИСТОЧНИКИ" xfId="36" xr:uid="{00000000-0005-0000-0000-00001C000000}"/>
    <cellStyle name="”ќђќ‘ћ‚›‰" xfId="38" xr:uid="{00000000-0005-0000-0000-00001E000000}"/>
    <cellStyle name="”љ‘ђћ‚ђќќ›‰" xfId="39" xr:uid="{00000000-0005-0000-0000-00001F000000}"/>
    <cellStyle name="„…ќ…†ќ›‰" xfId="40" xr:uid="{00000000-0005-0000-0000-000020000000}"/>
    <cellStyle name="‡ђѓћ‹ћ‚ћљ1" xfId="41" xr:uid="{00000000-0005-0000-0000-000021000000}"/>
    <cellStyle name="‡ђѓћ‹ћ‚ћљ2" xfId="42" xr:uid="{00000000-0005-0000-0000-000022000000}"/>
    <cellStyle name="’ћѓћ‚›‰" xfId="37" xr:uid="{00000000-0005-0000-0000-00001D000000}"/>
    <cellStyle name="20% - Акцент1 2" xfId="43" xr:uid="{00000000-0005-0000-0000-000023000000}"/>
    <cellStyle name="20% - Акцент1 2 2" xfId="44" xr:uid="{00000000-0005-0000-0000-000024000000}"/>
    <cellStyle name="20% - Акцент1 2 3" xfId="45" xr:uid="{00000000-0005-0000-0000-000025000000}"/>
    <cellStyle name="20% - Акцент1 3" xfId="46" xr:uid="{00000000-0005-0000-0000-000026000000}"/>
    <cellStyle name="20% - Акцент2 2" xfId="47" xr:uid="{00000000-0005-0000-0000-000027000000}"/>
    <cellStyle name="20% - Акцент2 2 2" xfId="48" xr:uid="{00000000-0005-0000-0000-000028000000}"/>
    <cellStyle name="20% - Акцент2 2 3" xfId="49" xr:uid="{00000000-0005-0000-0000-000029000000}"/>
    <cellStyle name="20% - Акцент2 3" xfId="50" xr:uid="{00000000-0005-0000-0000-00002A000000}"/>
    <cellStyle name="20% - Акцент3 2" xfId="51" xr:uid="{00000000-0005-0000-0000-00002B000000}"/>
    <cellStyle name="20% - Акцент3 2 2" xfId="52" xr:uid="{00000000-0005-0000-0000-00002C000000}"/>
    <cellStyle name="20% - Акцент3 2 3" xfId="53" xr:uid="{00000000-0005-0000-0000-00002D000000}"/>
    <cellStyle name="20% - Акцент3 3" xfId="54" xr:uid="{00000000-0005-0000-0000-00002E000000}"/>
    <cellStyle name="20% - Акцент4 2" xfId="55" xr:uid="{00000000-0005-0000-0000-00002F000000}"/>
    <cellStyle name="20% - Акцент4 2 2" xfId="56" xr:uid="{00000000-0005-0000-0000-000030000000}"/>
    <cellStyle name="20% - Акцент4 2 3" xfId="57" xr:uid="{00000000-0005-0000-0000-000031000000}"/>
    <cellStyle name="20% - Акцент4 3" xfId="58" xr:uid="{00000000-0005-0000-0000-000032000000}"/>
    <cellStyle name="20% - Акцент5 2" xfId="59" xr:uid="{00000000-0005-0000-0000-000033000000}"/>
    <cellStyle name="20% - Акцент5 2 2" xfId="60" xr:uid="{00000000-0005-0000-0000-000034000000}"/>
    <cellStyle name="20% - Акцент5 2 3" xfId="61" xr:uid="{00000000-0005-0000-0000-000035000000}"/>
    <cellStyle name="20% - Акцент5 3" xfId="62" xr:uid="{00000000-0005-0000-0000-000036000000}"/>
    <cellStyle name="20% - Акцент6 2" xfId="63" xr:uid="{00000000-0005-0000-0000-000037000000}"/>
    <cellStyle name="20% - Акцент6 2 2" xfId="64" xr:uid="{00000000-0005-0000-0000-000038000000}"/>
    <cellStyle name="20% - Акцент6 2 3" xfId="65" xr:uid="{00000000-0005-0000-0000-000039000000}"/>
    <cellStyle name="20% - Акцент6 3" xfId="66" xr:uid="{00000000-0005-0000-0000-00003A000000}"/>
    <cellStyle name="40% - Акцент1 2" xfId="67" xr:uid="{00000000-0005-0000-0000-00003B000000}"/>
    <cellStyle name="40% - Акцент1 2 2" xfId="68" xr:uid="{00000000-0005-0000-0000-00003C000000}"/>
    <cellStyle name="40% - Акцент1 2 3" xfId="69" xr:uid="{00000000-0005-0000-0000-00003D000000}"/>
    <cellStyle name="40% - Акцент1 3" xfId="70" xr:uid="{00000000-0005-0000-0000-00003E000000}"/>
    <cellStyle name="40% - Акцент2 2" xfId="71" xr:uid="{00000000-0005-0000-0000-00003F000000}"/>
    <cellStyle name="40% - Акцент2 2 2" xfId="72" xr:uid="{00000000-0005-0000-0000-000040000000}"/>
    <cellStyle name="40% - Акцент2 2 3" xfId="73" xr:uid="{00000000-0005-0000-0000-000041000000}"/>
    <cellStyle name="40% - Акцент2 3" xfId="74" xr:uid="{00000000-0005-0000-0000-000042000000}"/>
    <cellStyle name="40% - Акцент3 2" xfId="75" xr:uid="{00000000-0005-0000-0000-000043000000}"/>
    <cellStyle name="40% - Акцент3 2 2" xfId="76" xr:uid="{00000000-0005-0000-0000-000044000000}"/>
    <cellStyle name="40% - Акцент3 2 3" xfId="77" xr:uid="{00000000-0005-0000-0000-000045000000}"/>
    <cellStyle name="40% - Акцент3 3" xfId="78" xr:uid="{00000000-0005-0000-0000-000046000000}"/>
    <cellStyle name="40% - Акцент4 2" xfId="79" xr:uid="{00000000-0005-0000-0000-000047000000}"/>
    <cellStyle name="40% - Акцент4 2 2" xfId="80" xr:uid="{00000000-0005-0000-0000-000048000000}"/>
    <cellStyle name="40% - Акцент4 2 3" xfId="81" xr:uid="{00000000-0005-0000-0000-000049000000}"/>
    <cellStyle name="40% - Акцент4 3" xfId="82" xr:uid="{00000000-0005-0000-0000-00004A000000}"/>
    <cellStyle name="40% - Акцент5 2" xfId="83" xr:uid="{00000000-0005-0000-0000-00004B000000}"/>
    <cellStyle name="40% - Акцент5 2 2" xfId="84" xr:uid="{00000000-0005-0000-0000-00004C000000}"/>
    <cellStyle name="40% - Акцент5 2 3" xfId="85" xr:uid="{00000000-0005-0000-0000-00004D000000}"/>
    <cellStyle name="40% - Акцент5 3" xfId="86" xr:uid="{00000000-0005-0000-0000-00004E000000}"/>
    <cellStyle name="40% - Акцент6 2" xfId="87" xr:uid="{00000000-0005-0000-0000-00004F000000}"/>
    <cellStyle name="40% - Акцент6 2 2" xfId="88" xr:uid="{00000000-0005-0000-0000-000050000000}"/>
    <cellStyle name="40% - Акцент6 2 3" xfId="89" xr:uid="{00000000-0005-0000-0000-000051000000}"/>
    <cellStyle name="40% - Акцент6 3" xfId="90" xr:uid="{00000000-0005-0000-0000-000052000000}"/>
    <cellStyle name="60% - Акцент1 2" xfId="91" xr:uid="{00000000-0005-0000-0000-000053000000}"/>
    <cellStyle name="60% - Акцент1 2 2" xfId="92" xr:uid="{00000000-0005-0000-0000-000054000000}"/>
    <cellStyle name="60% - Акцент1 3" xfId="93" xr:uid="{00000000-0005-0000-0000-000055000000}"/>
    <cellStyle name="60% - Акцент2 2" xfId="94" xr:uid="{00000000-0005-0000-0000-000056000000}"/>
    <cellStyle name="60% - Акцент2 2 2" xfId="95" xr:uid="{00000000-0005-0000-0000-000057000000}"/>
    <cellStyle name="60% - Акцент2 3" xfId="96" xr:uid="{00000000-0005-0000-0000-000058000000}"/>
    <cellStyle name="60% - Акцент3 2" xfId="97" xr:uid="{00000000-0005-0000-0000-000059000000}"/>
    <cellStyle name="60% - Акцент3 2 2" xfId="98" xr:uid="{00000000-0005-0000-0000-00005A000000}"/>
    <cellStyle name="60% - Акцент3 3" xfId="99" xr:uid="{00000000-0005-0000-0000-00005B000000}"/>
    <cellStyle name="60% - Акцент4 2" xfId="100" xr:uid="{00000000-0005-0000-0000-00005C000000}"/>
    <cellStyle name="60% - Акцент4 2 2" xfId="101" xr:uid="{00000000-0005-0000-0000-00005D000000}"/>
    <cellStyle name="60% - Акцент4 3" xfId="102" xr:uid="{00000000-0005-0000-0000-00005E000000}"/>
    <cellStyle name="60% - Акцент5 2" xfId="103" xr:uid="{00000000-0005-0000-0000-00005F000000}"/>
    <cellStyle name="60% - Акцент5 2 2" xfId="104" xr:uid="{00000000-0005-0000-0000-000060000000}"/>
    <cellStyle name="60% - Акцент5 3" xfId="105" xr:uid="{00000000-0005-0000-0000-000061000000}"/>
    <cellStyle name="60% - Акцент6 2" xfId="106" xr:uid="{00000000-0005-0000-0000-000062000000}"/>
    <cellStyle name="60% - Акцент6 2 2" xfId="107" xr:uid="{00000000-0005-0000-0000-000063000000}"/>
    <cellStyle name="60% - Акцент6 3" xfId="108" xr:uid="{00000000-0005-0000-0000-000064000000}"/>
    <cellStyle name="Comma [0]_laroux" xfId="109" xr:uid="{00000000-0005-0000-0000-000065000000}"/>
    <cellStyle name="Comma_laroux" xfId="110" xr:uid="{00000000-0005-0000-0000-000066000000}"/>
    <cellStyle name="Currency [0]" xfId="111" xr:uid="{00000000-0005-0000-0000-000067000000}"/>
    <cellStyle name="Currency_laroux" xfId="112" xr:uid="{00000000-0005-0000-0000-000068000000}"/>
    <cellStyle name="Normal" xfId="113" xr:uid="{00000000-0005-0000-0000-000069000000}"/>
    <cellStyle name="Normal 1" xfId="114" xr:uid="{00000000-0005-0000-0000-00006A000000}"/>
    <cellStyle name="Normal 2" xfId="115" xr:uid="{00000000-0005-0000-0000-00006B000000}"/>
    <cellStyle name="Normal_ASUS" xfId="116" xr:uid="{00000000-0005-0000-0000-00006C000000}"/>
    <cellStyle name="Normal1" xfId="117" xr:uid="{00000000-0005-0000-0000-00006D000000}"/>
    <cellStyle name="Price_Body" xfId="118" xr:uid="{00000000-0005-0000-0000-00006E000000}"/>
    <cellStyle name="SAPBEXaggData" xfId="119" xr:uid="{00000000-0005-0000-0000-00006F000000}"/>
    <cellStyle name="SAPBEXaggDataEmph" xfId="120" xr:uid="{00000000-0005-0000-0000-000070000000}"/>
    <cellStyle name="SAPBEXaggItem" xfId="121" xr:uid="{00000000-0005-0000-0000-000071000000}"/>
    <cellStyle name="SAPBEXaggItemX" xfId="122" xr:uid="{00000000-0005-0000-0000-000072000000}"/>
    <cellStyle name="SAPBEXchaText" xfId="123" xr:uid="{00000000-0005-0000-0000-000073000000}"/>
    <cellStyle name="SAPBEXexcBad7" xfId="124" xr:uid="{00000000-0005-0000-0000-000074000000}"/>
    <cellStyle name="SAPBEXexcBad8" xfId="125" xr:uid="{00000000-0005-0000-0000-000075000000}"/>
    <cellStyle name="SAPBEXexcBad9" xfId="126" xr:uid="{00000000-0005-0000-0000-000076000000}"/>
    <cellStyle name="SAPBEXexcCritical4" xfId="127" xr:uid="{00000000-0005-0000-0000-000077000000}"/>
    <cellStyle name="SAPBEXexcCritical5" xfId="128" xr:uid="{00000000-0005-0000-0000-000078000000}"/>
    <cellStyle name="SAPBEXexcCritical6" xfId="129" xr:uid="{00000000-0005-0000-0000-000079000000}"/>
    <cellStyle name="SAPBEXexcGood1" xfId="130" xr:uid="{00000000-0005-0000-0000-00007A000000}"/>
    <cellStyle name="SAPBEXexcGood2" xfId="131" xr:uid="{00000000-0005-0000-0000-00007B000000}"/>
    <cellStyle name="SAPBEXexcGood3" xfId="132" xr:uid="{00000000-0005-0000-0000-00007C000000}"/>
    <cellStyle name="SAPBEXfilterDrill" xfId="133" xr:uid="{00000000-0005-0000-0000-00007D000000}"/>
    <cellStyle name="SAPBEXfilterItem" xfId="134" xr:uid="{00000000-0005-0000-0000-00007E000000}"/>
    <cellStyle name="SAPBEXfilterText" xfId="135" xr:uid="{00000000-0005-0000-0000-00007F000000}"/>
    <cellStyle name="SAPBEXformats" xfId="136" xr:uid="{00000000-0005-0000-0000-000080000000}"/>
    <cellStyle name="SAPBEXheaderItem" xfId="137" xr:uid="{00000000-0005-0000-0000-000081000000}"/>
    <cellStyle name="SAPBEXheaderText" xfId="138" xr:uid="{00000000-0005-0000-0000-000082000000}"/>
    <cellStyle name="SAPBEXHLevel0" xfId="139" xr:uid="{00000000-0005-0000-0000-000083000000}"/>
    <cellStyle name="SAPBEXHLevel0X" xfId="140" xr:uid="{00000000-0005-0000-0000-000084000000}"/>
    <cellStyle name="SAPBEXHLevel1" xfId="141" xr:uid="{00000000-0005-0000-0000-000085000000}"/>
    <cellStyle name="SAPBEXHLevel1X" xfId="142" xr:uid="{00000000-0005-0000-0000-000086000000}"/>
    <cellStyle name="SAPBEXHLevel2" xfId="143" xr:uid="{00000000-0005-0000-0000-000087000000}"/>
    <cellStyle name="SAPBEXHLevel2X" xfId="144" xr:uid="{00000000-0005-0000-0000-000088000000}"/>
    <cellStyle name="SAPBEXHLevel3" xfId="145" xr:uid="{00000000-0005-0000-0000-000089000000}"/>
    <cellStyle name="SAPBEXHLevel3X" xfId="146" xr:uid="{00000000-0005-0000-0000-00008A000000}"/>
    <cellStyle name="SAPBEXresData" xfId="147" xr:uid="{00000000-0005-0000-0000-00008B000000}"/>
    <cellStyle name="SAPBEXresDataEmph" xfId="148" xr:uid="{00000000-0005-0000-0000-00008C000000}"/>
    <cellStyle name="SAPBEXresItem" xfId="149" xr:uid="{00000000-0005-0000-0000-00008D000000}"/>
    <cellStyle name="SAPBEXresItemX" xfId="150" xr:uid="{00000000-0005-0000-0000-00008E000000}"/>
    <cellStyle name="SAPBEXstdData" xfId="151" xr:uid="{00000000-0005-0000-0000-00008F000000}"/>
    <cellStyle name="SAPBEXstdDataEmph" xfId="152" xr:uid="{00000000-0005-0000-0000-000090000000}"/>
    <cellStyle name="SAPBEXstdItem" xfId="153" xr:uid="{00000000-0005-0000-0000-000091000000}"/>
    <cellStyle name="SAPBEXstdItem 2" xfId="154" xr:uid="{00000000-0005-0000-0000-000092000000}"/>
    <cellStyle name="SAPBEXstdItemX" xfId="155" xr:uid="{00000000-0005-0000-0000-000093000000}"/>
    <cellStyle name="SAPBEXtitle" xfId="156" xr:uid="{00000000-0005-0000-0000-000094000000}"/>
    <cellStyle name="SAPBEXundefined" xfId="157" xr:uid="{00000000-0005-0000-0000-000095000000}"/>
    <cellStyle name="Акцент1 2" xfId="158" xr:uid="{00000000-0005-0000-0000-000096000000}"/>
    <cellStyle name="Акцент1 2 2" xfId="159" xr:uid="{00000000-0005-0000-0000-000097000000}"/>
    <cellStyle name="Акцент1 3" xfId="160" xr:uid="{00000000-0005-0000-0000-000098000000}"/>
    <cellStyle name="Акцент2 2" xfId="161" xr:uid="{00000000-0005-0000-0000-000099000000}"/>
    <cellStyle name="Акцент2 2 2" xfId="162" xr:uid="{00000000-0005-0000-0000-00009A000000}"/>
    <cellStyle name="Акцент2 3" xfId="163" xr:uid="{00000000-0005-0000-0000-00009B000000}"/>
    <cellStyle name="Акцент3 2" xfId="164" xr:uid="{00000000-0005-0000-0000-00009C000000}"/>
    <cellStyle name="Акцент3 2 2" xfId="165" xr:uid="{00000000-0005-0000-0000-00009D000000}"/>
    <cellStyle name="Акцент3 3" xfId="166" xr:uid="{00000000-0005-0000-0000-00009E000000}"/>
    <cellStyle name="Акцент4 2" xfId="167" xr:uid="{00000000-0005-0000-0000-00009F000000}"/>
    <cellStyle name="Акцент4 2 2" xfId="168" xr:uid="{00000000-0005-0000-0000-0000A0000000}"/>
    <cellStyle name="Акцент4 3" xfId="169" xr:uid="{00000000-0005-0000-0000-0000A1000000}"/>
    <cellStyle name="Акцент5 2" xfId="170" xr:uid="{00000000-0005-0000-0000-0000A2000000}"/>
    <cellStyle name="Акцент5 2 2" xfId="171" xr:uid="{00000000-0005-0000-0000-0000A3000000}"/>
    <cellStyle name="Акцент5 3" xfId="172" xr:uid="{00000000-0005-0000-0000-0000A4000000}"/>
    <cellStyle name="Акцент6 2" xfId="173" xr:uid="{00000000-0005-0000-0000-0000A5000000}"/>
    <cellStyle name="Акцент6 2 2" xfId="174" xr:uid="{00000000-0005-0000-0000-0000A6000000}"/>
    <cellStyle name="Акцент6 3" xfId="175" xr:uid="{00000000-0005-0000-0000-0000A7000000}"/>
    <cellStyle name="Беззащитный" xfId="176" xr:uid="{00000000-0005-0000-0000-0000A8000000}"/>
    <cellStyle name="Ввод  2" xfId="177" xr:uid="{00000000-0005-0000-0000-0000A9000000}"/>
    <cellStyle name="Ввод  2 2" xfId="178" xr:uid="{00000000-0005-0000-0000-0000AA000000}"/>
    <cellStyle name="Ввод  3" xfId="179" xr:uid="{00000000-0005-0000-0000-0000AB000000}"/>
    <cellStyle name="Вывод 2" xfId="180" xr:uid="{00000000-0005-0000-0000-0000AC000000}"/>
    <cellStyle name="Вывод 2 2" xfId="181" xr:uid="{00000000-0005-0000-0000-0000AD000000}"/>
    <cellStyle name="Вывод 3" xfId="182" xr:uid="{00000000-0005-0000-0000-0000AE000000}"/>
    <cellStyle name="Вычисление 2" xfId="183" xr:uid="{00000000-0005-0000-0000-0000AF000000}"/>
    <cellStyle name="Вычисление 2 2" xfId="184" xr:uid="{00000000-0005-0000-0000-0000B0000000}"/>
    <cellStyle name="Вычисление 3" xfId="185" xr:uid="{00000000-0005-0000-0000-0000B1000000}"/>
    <cellStyle name="Гиперссылка 2" xfId="186" xr:uid="{00000000-0005-0000-0000-0000B2000000}"/>
    <cellStyle name="Заголовок" xfId="187" xr:uid="{00000000-0005-0000-0000-0000B3000000}"/>
    <cellStyle name="Заголовок 1 2" xfId="188" xr:uid="{00000000-0005-0000-0000-0000B4000000}"/>
    <cellStyle name="Заголовок 1 2 2" xfId="189" xr:uid="{00000000-0005-0000-0000-0000B5000000}"/>
    <cellStyle name="Заголовок 1 3" xfId="190" xr:uid="{00000000-0005-0000-0000-0000B6000000}"/>
    <cellStyle name="Заголовок 2 2" xfId="191" xr:uid="{00000000-0005-0000-0000-0000B7000000}"/>
    <cellStyle name="Заголовок 2 2 2" xfId="192" xr:uid="{00000000-0005-0000-0000-0000B8000000}"/>
    <cellStyle name="Заголовок 2 3" xfId="193" xr:uid="{00000000-0005-0000-0000-0000B9000000}"/>
    <cellStyle name="Заголовок 3 2" xfId="194" xr:uid="{00000000-0005-0000-0000-0000BA000000}"/>
    <cellStyle name="Заголовок 3 2 2" xfId="195" xr:uid="{00000000-0005-0000-0000-0000BB000000}"/>
    <cellStyle name="Заголовок 3 3" xfId="196" xr:uid="{00000000-0005-0000-0000-0000BC000000}"/>
    <cellStyle name="Заголовок 4 2" xfId="197" xr:uid="{00000000-0005-0000-0000-0000BD000000}"/>
    <cellStyle name="Заголовок 4 2 2" xfId="198" xr:uid="{00000000-0005-0000-0000-0000BE000000}"/>
    <cellStyle name="Заголовок 4 3" xfId="199" xr:uid="{00000000-0005-0000-0000-0000BF000000}"/>
    <cellStyle name="ЗаголовокСтолбца" xfId="5" xr:uid="{00000000-0005-0000-0000-0000C0000000}"/>
    <cellStyle name="Защитный" xfId="200" xr:uid="{00000000-0005-0000-0000-0000C1000000}"/>
    <cellStyle name="Значение" xfId="6" xr:uid="{00000000-0005-0000-0000-0000C2000000}"/>
    <cellStyle name="Итог 2" xfId="201" xr:uid="{00000000-0005-0000-0000-0000C3000000}"/>
    <cellStyle name="Итог 2 2" xfId="202" xr:uid="{00000000-0005-0000-0000-0000C4000000}"/>
    <cellStyle name="Итог 3" xfId="203" xr:uid="{00000000-0005-0000-0000-0000C5000000}"/>
    <cellStyle name="Контрольная ячейка 2" xfId="204" xr:uid="{00000000-0005-0000-0000-0000C6000000}"/>
    <cellStyle name="Контрольная ячейка 2 2" xfId="205" xr:uid="{00000000-0005-0000-0000-0000C7000000}"/>
    <cellStyle name="Контрольная ячейка 3" xfId="206" xr:uid="{00000000-0005-0000-0000-0000C8000000}"/>
    <cellStyle name="Мои наименования показателей" xfId="207" xr:uid="{00000000-0005-0000-0000-0000C9000000}"/>
    <cellStyle name="Мой заголовок" xfId="208" xr:uid="{00000000-0005-0000-0000-0000CA000000}"/>
    <cellStyle name="Мой заголовок листа" xfId="209" xr:uid="{00000000-0005-0000-0000-0000CB000000}"/>
    <cellStyle name="Название 2" xfId="210" xr:uid="{00000000-0005-0000-0000-0000CC000000}"/>
    <cellStyle name="Название 2 2" xfId="211" xr:uid="{00000000-0005-0000-0000-0000CD000000}"/>
    <cellStyle name="Название 3" xfId="212" xr:uid="{00000000-0005-0000-0000-0000CE000000}"/>
    <cellStyle name="Нейтральный 2" xfId="213" xr:uid="{00000000-0005-0000-0000-0000CF000000}"/>
    <cellStyle name="Нейтральный 2 2" xfId="214" xr:uid="{00000000-0005-0000-0000-0000D0000000}"/>
    <cellStyle name="Нейтральный 3" xfId="215" xr:uid="{00000000-0005-0000-0000-0000D1000000}"/>
    <cellStyle name="Обычный" xfId="0" builtinId="0"/>
    <cellStyle name="Обычный 10" xfId="216" xr:uid="{00000000-0005-0000-0000-0000D3000000}"/>
    <cellStyle name="Обычный 10 2" xfId="217" xr:uid="{00000000-0005-0000-0000-0000D4000000}"/>
    <cellStyle name="Обычный 10 3" xfId="218" xr:uid="{00000000-0005-0000-0000-0000D5000000}"/>
    <cellStyle name="Обычный 10 4" xfId="219" xr:uid="{00000000-0005-0000-0000-0000D6000000}"/>
    <cellStyle name="Обычный 10 5" xfId="220" xr:uid="{00000000-0005-0000-0000-0000D7000000}"/>
    <cellStyle name="Обычный 10 5 2" xfId="221" xr:uid="{00000000-0005-0000-0000-0000D8000000}"/>
    <cellStyle name="Обычный 11" xfId="222" xr:uid="{00000000-0005-0000-0000-0000D9000000}"/>
    <cellStyle name="Обычный 11 2" xfId="223" xr:uid="{00000000-0005-0000-0000-0000DA000000}"/>
    <cellStyle name="Обычный 11 3" xfId="224" xr:uid="{00000000-0005-0000-0000-0000DB000000}"/>
    <cellStyle name="Обычный 110" xfId="225" xr:uid="{00000000-0005-0000-0000-0000DC000000}"/>
    <cellStyle name="Обычный 12" xfId="226" xr:uid="{00000000-0005-0000-0000-0000DD000000}"/>
    <cellStyle name="Обычный 12 2" xfId="227" xr:uid="{00000000-0005-0000-0000-0000DE000000}"/>
    <cellStyle name="Обычный 12 3" xfId="228" xr:uid="{00000000-0005-0000-0000-0000DF000000}"/>
    <cellStyle name="Обычный 13" xfId="229" xr:uid="{00000000-0005-0000-0000-0000E0000000}"/>
    <cellStyle name="Обычный 13 2" xfId="230" xr:uid="{00000000-0005-0000-0000-0000E1000000}"/>
    <cellStyle name="Обычный 14" xfId="231" xr:uid="{00000000-0005-0000-0000-0000E2000000}"/>
    <cellStyle name="Обычный 15" xfId="232" xr:uid="{00000000-0005-0000-0000-0000E3000000}"/>
    <cellStyle name="Обычный 15 2" xfId="233" xr:uid="{00000000-0005-0000-0000-0000E4000000}"/>
    <cellStyle name="Обычный 16" xfId="234" xr:uid="{00000000-0005-0000-0000-0000E5000000}"/>
    <cellStyle name="Обычный 16 2" xfId="235" xr:uid="{00000000-0005-0000-0000-0000E6000000}"/>
    <cellStyle name="Обычный 17" xfId="236" xr:uid="{00000000-0005-0000-0000-0000E7000000}"/>
    <cellStyle name="Обычный 2" xfId="2" xr:uid="{00000000-0005-0000-0000-0000E8000000}"/>
    <cellStyle name="Обычный 2 10" xfId="237" xr:uid="{00000000-0005-0000-0000-0000E9000000}"/>
    <cellStyle name="Обычный 2 11" xfId="238" xr:uid="{00000000-0005-0000-0000-0000EA000000}"/>
    <cellStyle name="Обычный 2 12" xfId="239" xr:uid="{00000000-0005-0000-0000-0000EB000000}"/>
    <cellStyle name="Обычный 2 2" xfId="240" xr:uid="{00000000-0005-0000-0000-0000EC000000}"/>
    <cellStyle name="Обычный 2 2 2" xfId="241" xr:uid="{00000000-0005-0000-0000-0000ED000000}"/>
    <cellStyle name="Обычный 2 2 2 2" xfId="242" xr:uid="{00000000-0005-0000-0000-0000EE000000}"/>
    <cellStyle name="Обычный 2 2 2 3" xfId="243" xr:uid="{00000000-0005-0000-0000-0000EF000000}"/>
    <cellStyle name="Обычный 2 2 3" xfId="244" xr:uid="{00000000-0005-0000-0000-0000F0000000}"/>
    <cellStyle name="Обычный 2 2 3 2" xfId="245" xr:uid="{00000000-0005-0000-0000-0000F1000000}"/>
    <cellStyle name="Обычный 2 2 4" xfId="246" xr:uid="{00000000-0005-0000-0000-0000F2000000}"/>
    <cellStyle name="Обычный 2 3" xfId="247" xr:uid="{00000000-0005-0000-0000-0000F3000000}"/>
    <cellStyle name="Обычный 2 3 2" xfId="248" xr:uid="{00000000-0005-0000-0000-0000F4000000}"/>
    <cellStyle name="Обычный 2 4" xfId="249" xr:uid="{00000000-0005-0000-0000-0000F5000000}"/>
    <cellStyle name="Обычный 2 5" xfId="250" xr:uid="{00000000-0005-0000-0000-0000F6000000}"/>
    <cellStyle name="Обычный 2 5 2" xfId="251" xr:uid="{00000000-0005-0000-0000-0000F7000000}"/>
    <cellStyle name="Обычный 2 5 3" xfId="252" xr:uid="{00000000-0005-0000-0000-0000F8000000}"/>
    <cellStyle name="Обычный 2 6" xfId="253" xr:uid="{00000000-0005-0000-0000-0000F9000000}"/>
    <cellStyle name="Обычный 2 7" xfId="254" xr:uid="{00000000-0005-0000-0000-0000FA000000}"/>
    <cellStyle name="Обычный 2 7 2" xfId="255" xr:uid="{00000000-0005-0000-0000-0000FB000000}"/>
    <cellStyle name="Обычный 2 8" xfId="256" xr:uid="{00000000-0005-0000-0000-0000FC000000}"/>
    <cellStyle name="Обычный 2 8 2" xfId="257" xr:uid="{00000000-0005-0000-0000-0000FD000000}"/>
    <cellStyle name="Обычный 2 8 3" xfId="258" xr:uid="{00000000-0005-0000-0000-0000FE000000}"/>
    <cellStyle name="Обычный 2 9" xfId="259" xr:uid="{00000000-0005-0000-0000-0000FF000000}"/>
    <cellStyle name="Обычный 3" xfId="4" xr:uid="{00000000-0005-0000-0000-000000010000}"/>
    <cellStyle name="Обычный 3 11" xfId="260" xr:uid="{00000000-0005-0000-0000-000001010000}"/>
    <cellStyle name="Обычный 3 2" xfId="261" xr:uid="{00000000-0005-0000-0000-000002010000}"/>
    <cellStyle name="Обычный 3 2 2" xfId="262" xr:uid="{00000000-0005-0000-0000-000003010000}"/>
    <cellStyle name="Обычный 3 2 2 2" xfId="263" xr:uid="{00000000-0005-0000-0000-000004010000}"/>
    <cellStyle name="Обычный 3 2 3" xfId="264" xr:uid="{00000000-0005-0000-0000-000005010000}"/>
    <cellStyle name="Обычный 3 2 4" xfId="265" xr:uid="{00000000-0005-0000-0000-000006010000}"/>
    <cellStyle name="Обычный 3 3" xfId="266" xr:uid="{00000000-0005-0000-0000-000007010000}"/>
    <cellStyle name="Обычный 3 3 2" xfId="267" xr:uid="{00000000-0005-0000-0000-000008010000}"/>
    <cellStyle name="Обычный 3 4" xfId="268" xr:uid="{00000000-0005-0000-0000-000009010000}"/>
    <cellStyle name="Обычный 3 5" xfId="269" xr:uid="{00000000-0005-0000-0000-00000A010000}"/>
    <cellStyle name="Обычный 3 6" xfId="270" xr:uid="{00000000-0005-0000-0000-00000B010000}"/>
    <cellStyle name="Обычный 3 7" xfId="271" xr:uid="{00000000-0005-0000-0000-00000C010000}"/>
    <cellStyle name="Обычный 3_ИП-май-2011" xfId="272" xr:uid="{00000000-0005-0000-0000-00000D010000}"/>
    <cellStyle name="Обычный 33" xfId="273" xr:uid="{00000000-0005-0000-0000-00000E010000}"/>
    <cellStyle name="Обычный 36 3" xfId="274" xr:uid="{00000000-0005-0000-0000-00000F010000}"/>
    <cellStyle name="Обычный 4" xfId="275" xr:uid="{00000000-0005-0000-0000-000010010000}"/>
    <cellStyle name="Обычный 4 2" xfId="276" xr:uid="{00000000-0005-0000-0000-000011010000}"/>
    <cellStyle name="Обычный 4 2 2" xfId="277" xr:uid="{00000000-0005-0000-0000-000012010000}"/>
    <cellStyle name="Обычный 4 2 3" xfId="278" xr:uid="{00000000-0005-0000-0000-000013010000}"/>
    <cellStyle name="Обычный 4 3" xfId="279" xr:uid="{00000000-0005-0000-0000-000014010000}"/>
    <cellStyle name="Обычный 5" xfId="280" xr:uid="{00000000-0005-0000-0000-000015010000}"/>
    <cellStyle name="Обычный 5 2" xfId="281" xr:uid="{00000000-0005-0000-0000-000016010000}"/>
    <cellStyle name="Обычный 5 3" xfId="282" xr:uid="{00000000-0005-0000-0000-000017010000}"/>
    <cellStyle name="Обычный 58" xfId="283" xr:uid="{00000000-0005-0000-0000-000018010000}"/>
    <cellStyle name="Обычный 6" xfId="284" xr:uid="{00000000-0005-0000-0000-000019010000}"/>
    <cellStyle name="Обычный 6 2" xfId="285" xr:uid="{00000000-0005-0000-0000-00001A010000}"/>
    <cellStyle name="Обычный 6 3" xfId="286" xr:uid="{00000000-0005-0000-0000-00001B010000}"/>
    <cellStyle name="Обычный 6 3 2" xfId="287" xr:uid="{00000000-0005-0000-0000-00001C010000}"/>
    <cellStyle name="Обычный 6 3 3" xfId="288" xr:uid="{00000000-0005-0000-0000-00001D010000}"/>
    <cellStyle name="Обычный 6 4" xfId="289" xr:uid="{00000000-0005-0000-0000-00001E010000}"/>
    <cellStyle name="Обычный 7" xfId="290" xr:uid="{00000000-0005-0000-0000-00001F010000}"/>
    <cellStyle name="Обычный 8" xfId="291" xr:uid="{00000000-0005-0000-0000-000020010000}"/>
    <cellStyle name="Обычный 8 2" xfId="292" xr:uid="{00000000-0005-0000-0000-000021010000}"/>
    <cellStyle name="Обычный 9" xfId="293" xr:uid="{00000000-0005-0000-0000-000022010000}"/>
    <cellStyle name="Обычный 9 2" xfId="294" xr:uid="{00000000-0005-0000-0000-000023010000}"/>
    <cellStyle name="Обычный 98" xfId="295" xr:uid="{00000000-0005-0000-0000-000024010000}"/>
    <cellStyle name="Плохой 2" xfId="296" xr:uid="{00000000-0005-0000-0000-000025010000}"/>
    <cellStyle name="Плохой 2 2" xfId="297" xr:uid="{00000000-0005-0000-0000-000026010000}"/>
    <cellStyle name="Плохой 3" xfId="298" xr:uid="{00000000-0005-0000-0000-000027010000}"/>
    <cellStyle name="Поле ввода" xfId="299" xr:uid="{00000000-0005-0000-0000-000028010000}"/>
    <cellStyle name="Пояснение 2" xfId="300" xr:uid="{00000000-0005-0000-0000-000029010000}"/>
    <cellStyle name="Пояснение 2 2" xfId="301" xr:uid="{00000000-0005-0000-0000-00002A010000}"/>
    <cellStyle name="Пояснение 3" xfId="302" xr:uid="{00000000-0005-0000-0000-00002B010000}"/>
    <cellStyle name="Примечание 2" xfId="303" xr:uid="{00000000-0005-0000-0000-00002C010000}"/>
    <cellStyle name="Примечание 2 2" xfId="304" xr:uid="{00000000-0005-0000-0000-00002D010000}"/>
    <cellStyle name="Примечание 2 3" xfId="305" xr:uid="{00000000-0005-0000-0000-00002E010000}"/>
    <cellStyle name="Примечание 3" xfId="306" xr:uid="{00000000-0005-0000-0000-00002F010000}"/>
    <cellStyle name="Примечание 4" xfId="307" xr:uid="{00000000-0005-0000-0000-000030010000}"/>
    <cellStyle name="Процентный 2" xfId="1" xr:uid="{00000000-0005-0000-0000-000031010000}"/>
    <cellStyle name="Процентный 2 2" xfId="308" xr:uid="{00000000-0005-0000-0000-000032010000}"/>
    <cellStyle name="Процентный 2 2 2" xfId="309" xr:uid="{00000000-0005-0000-0000-000033010000}"/>
    <cellStyle name="Процентный 2 3" xfId="310" xr:uid="{00000000-0005-0000-0000-000034010000}"/>
    <cellStyle name="Процентный 2 4" xfId="311" xr:uid="{00000000-0005-0000-0000-000035010000}"/>
    <cellStyle name="Связанная ячейка 2" xfId="312" xr:uid="{00000000-0005-0000-0000-000036010000}"/>
    <cellStyle name="Связанная ячейка 2 2" xfId="313" xr:uid="{00000000-0005-0000-0000-000037010000}"/>
    <cellStyle name="Связанная ячейка 3" xfId="314" xr:uid="{00000000-0005-0000-0000-000038010000}"/>
    <cellStyle name="Стиль 1" xfId="315" xr:uid="{00000000-0005-0000-0000-000039010000}"/>
    <cellStyle name="Стиль 1 2" xfId="316" xr:uid="{00000000-0005-0000-0000-00003A010000}"/>
    <cellStyle name="Стиль 1 2 2" xfId="317" xr:uid="{00000000-0005-0000-0000-00003B010000}"/>
    <cellStyle name="Стиль 1 20 2" xfId="318" xr:uid="{00000000-0005-0000-0000-00003C010000}"/>
    <cellStyle name="Стиль 1 22" xfId="319" xr:uid="{00000000-0005-0000-0000-00003D010000}"/>
    <cellStyle name="Стиль 1 3" xfId="320" xr:uid="{00000000-0005-0000-0000-00003E010000}"/>
    <cellStyle name="Текст предупреждения 2" xfId="321" xr:uid="{00000000-0005-0000-0000-00003F010000}"/>
    <cellStyle name="Текст предупреждения 2 2" xfId="322" xr:uid="{00000000-0005-0000-0000-000040010000}"/>
    <cellStyle name="Текст предупреждения 3" xfId="323" xr:uid="{00000000-0005-0000-0000-000041010000}"/>
    <cellStyle name="Текстовый" xfId="324" xr:uid="{00000000-0005-0000-0000-000042010000}"/>
    <cellStyle name="Тысячи [0]_3Com" xfId="325" xr:uid="{00000000-0005-0000-0000-000043010000}"/>
    <cellStyle name="Тысячи_3Com" xfId="326" xr:uid="{00000000-0005-0000-0000-000044010000}"/>
    <cellStyle name="Финансовый [0] 2" xfId="327" xr:uid="{00000000-0005-0000-0000-000045010000}"/>
    <cellStyle name="Финансовый 10" xfId="328" xr:uid="{00000000-0005-0000-0000-000046010000}"/>
    <cellStyle name="Финансовый 11" xfId="329" xr:uid="{00000000-0005-0000-0000-000047010000}"/>
    <cellStyle name="Финансовый 12" xfId="330" xr:uid="{00000000-0005-0000-0000-000048010000}"/>
    <cellStyle name="Финансовый 13" xfId="331" xr:uid="{00000000-0005-0000-0000-000049010000}"/>
    <cellStyle name="Финансовый 14" xfId="332" xr:uid="{00000000-0005-0000-0000-00004A010000}"/>
    <cellStyle name="Финансовый 15" xfId="333" xr:uid="{00000000-0005-0000-0000-00004B010000}"/>
    <cellStyle name="Финансовый 16" xfId="334" xr:uid="{00000000-0005-0000-0000-00004C010000}"/>
    <cellStyle name="Финансовый 17" xfId="335" xr:uid="{00000000-0005-0000-0000-00004D010000}"/>
    <cellStyle name="Финансовый 18" xfId="336" xr:uid="{00000000-0005-0000-0000-00004E010000}"/>
    <cellStyle name="Финансовый 19" xfId="337" xr:uid="{00000000-0005-0000-0000-00004F010000}"/>
    <cellStyle name="Финансовый 19 2" xfId="338" xr:uid="{00000000-0005-0000-0000-000050010000}"/>
    <cellStyle name="Финансовый 2" xfId="3" xr:uid="{00000000-0005-0000-0000-000051010000}"/>
    <cellStyle name="Финансовый 2 2" xfId="339" xr:uid="{00000000-0005-0000-0000-000052010000}"/>
    <cellStyle name="Финансовый 2 2 2" xfId="340" xr:uid="{00000000-0005-0000-0000-000053010000}"/>
    <cellStyle name="Финансовый 2 3" xfId="341" xr:uid="{00000000-0005-0000-0000-000054010000}"/>
    <cellStyle name="Финансовый 2 3 2" xfId="342" xr:uid="{00000000-0005-0000-0000-000055010000}"/>
    <cellStyle name="Финансовый 2 4" xfId="343" xr:uid="{00000000-0005-0000-0000-000056010000}"/>
    <cellStyle name="Финансовый 2 5" xfId="344" xr:uid="{00000000-0005-0000-0000-000057010000}"/>
    <cellStyle name="Финансовый 20" xfId="345" xr:uid="{00000000-0005-0000-0000-000058010000}"/>
    <cellStyle name="Финансовый 21" xfId="346" xr:uid="{00000000-0005-0000-0000-000059010000}"/>
    <cellStyle name="Финансовый 3" xfId="347" xr:uid="{00000000-0005-0000-0000-00005A010000}"/>
    <cellStyle name="Финансовый 3 2" xfId="348" xr:uid="{00000000-0005-0000-0000-00005B010000}"/>
    <cellStyle name="Финансовый 3 2 2" xfId="349" xr:uid="{00000000-0005-0000-0000-00005C010000}"/>
    <cellStyle name="Финансовый 3 3" xfId="350" xr:uid="{00000000-0005-0000-0000-00005D010000}"/>
    <cellStyle name="Финансовый 3 4" xfId="351" xr:uid="{00000000-0005-0000-0000-00005E010000}"/>
    <cellStyle name="Финансовый 4" xfId="352" xr:uid="{00000000-0005-0000-0000-00005F010000}"/>
    <cellStyle name="Финансовый 4 2" xfId="353" xr:uid="{00000000-0005-0000-0000-000060010000}"/>
    <cellStyle name="Финансовый 4 2 2" xfId="354" xr:uid="{00000000-0005-0000-0000-000061010000}"/>
    <cellStyle name="Финансовый 4 2 2 2" xfId="355" xr:uid="{00000000-0005-0000-0000-000062010000}"/>
    <cellStyle name="Финансовый 4 2 3" xfId="356" xr:uid="{00000000-0005-0000-0000-000063010000}"/>
    <cellStyle name="Финансовый 4 3" xfId="357" xr:uid="{00000000-0005-0000-0000-000064010000}"/>
    <cellStyle name="Финансовый 4 4" xfId="358" xr:uid="{00000000-0005-0000-0000-000065010000}"/>
    <cellStyle name="Финансовый 5" xfId="359" xr:uid="{00000000-0005-0000-0000-000066010000}"/>
    <cellStyle name="Финансовый 5 2" xfId="360" xr:uid="{00000000-0005-0000-0000-000067010000}"/>
    <cellStyle name="Финансовый 5 3" xfId="361" xr:uid="{00000000-0005-0000-0000-000068010000}"/>
    <cellStyle name="Финансовый 5 4" xfId="362" xr:uid="{00000000-0005-0000-0000-000069010000}"/>
    <cellStyle name="Финансовый 6" xfId="363" xr:uid="{00000000-0005-0000-0000-00006A010000}"/>
    <cellStyle name="Финансовый 6 2" xfId="364" xr:uid="{00000000-0005-0000-0000-00006B010000}"/>
    <cellStyle name="Финансовый 6 3" xfId="365" xr:uid="{00000000-0005-0000-0000-00006C010000}"/>
    <cellStyle name="Финансовый 6 4" xfId="366" xr:uid="{00000000-0005-0000-0000-00006D010000}"/>
    <cellStyle name="Финансовый 7" xfId="367" xr:uid="{00000000-0005-0000-0000-00006E010000}"/>
    <cellStyle name="Финансовый 8" xfId="368" xr:uid="{00000000-0005-0000-0000-00006F010000}"/>
    <cellStyle name="Финансовый 9" xfId="369" xr:uid="{00000000-0005-0000-0000-000070010000}"/>
    <cellStyle name="Формула" xfId="370" xr:uid="{00000000-0005-0000-0000-000071010000}"/>
    <cellStyle name="ФормулаВБ" xfId="7" xr:uid="{00000000-0005-0000-0000-000074010000}"/>
    <cellStyle name="ФормулаНаКонтроль" xfId="371" xr:uid="{00000000-0005-0000-0000-000075010000}"/>
    <cellStyle name="Хороший 2" xfId="372" xr:uid="{00000000-0005-0000-0000-000076010000}"/>
    <cellStyle name="Хороший 2 2" xfId="373" xr:uid="{00000000-0005-0000-0000-000077010000}"/>
    <cellStyle name="Хороший 3" xfId="374" xr:uid="{00000000-0005-0000-0000-000078010000}"/>
    <cellStyle name="Џђћ–…ќ’ќ›‰" xfId="375" xr:uid="{00000000-0005-0000-0000-000079010000}"/>
    <cellStyle name="㼿㼿" xfId="376" xr:uid="{00000000-0005-0000-0000-00007A010000}"/>
    <cellStyle name="㼿㼿?" xfId="377" xr:uid="{00000000-0005-0000-0000-00007B010000}"/>
    <cellStyle name="㼿㼿_Укрупненный расчет  Варнав._3" xfId="378" xr:uid="{00000000-0005-0000-0000-00007C010000}"/>
    <cellStyle name="㼿㼿㼿" xfId="379" xr:uid="{00000000-0005-0000-0000-00007D010000}"/>
    <cellStyle name="㼿㼿㼿?" xfId="380" xr:uid="{00000000-0005-0000-0000-00007E010000}"/>
    <cellStyle name="㼿㼿㼿_Укрупненный расчет  Варнав._6" xfId="381" xr:uid="{00000000-0005-0000-0000-00007F010000}"/>
    <cellStyle name="㼿㼿㼿㼿" xfId="382" xr:uid="{00000000-0005-0000-0000-000080010000}"/>
    <cellStyle name="㼿㼿㼿㼿?" xfId="383" xr:uid="{00000000-0005-0000-0000-000081010000}"/>
    <cellStyle name="㼿㼿㼿㼿_Укрупненный расчет  Варнав._5" xfId="384" xr:uid="{00000000-0005-0000-0000-000082010000}"/>
    <cellStyle name="㼿㼿㼿㼿㼿" xfId="385" xr:uid="{00000000-0005-0000-0000-000083010000}"/>
    <cellStyle name="㼿㼿㼿㼿㼿?" xfId="386" xr:uid="{00000000-0005-0000-0000-000084010000}"/>
    <cellStyle name="㼿㼿㼿㼿㼿_Укрупненный расчет  Варнав." xfId="387" xr:uid="{00000000-0005-0000-0000-000085010000}"/>
    <cellStyle name="㼿㼿㼿㼿㼿㼿?" xfId="388" xr:uid="{00000000-0005-0000-0000-000086010000}"/>
    <cellStyle name="㼿㼿㼿㼿㼿㼿㼿㼿" xfId="389" xr:uid="{00000000-0005-0000-0000-000087010000}"/>
    <cellStyle name="㼿㼿㼿㼿㼿㼿㼿㼿㼿" xfId="390" xr:uid="{00000000-0005-0000-0000-000088010000}"/>
    <cellStyle name="㼿㼿㼿㼿㼿㼿㼿㼿㼿㼿" xfId="391" xr:uid="{00000000-0005-0000-0000-00008901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0">
    <tabColor rgb="FFFF0000"/>
  </sheetPr>
  <dimension ref="A1:R38"/>
  <sheetViews>
    <sheetView view="pageBreakPreview" topLeftCell="A6" zoomScale="75" zoomScaleNormal="75" zoomScaleSheetLayoutView="75" workbookViewId="0">
      <selection activeCell="X41" sqref="X41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156" t="s">
        <v>230</v>
      </c>
    </row>
    <row r="2" spans="1:18" s="4" customFormat="1" ht="15.75">
      <c r="A2" s="182" t="s">
        <v>28</v>
      </c>
      <c r="B2" s="182"/>
      <c r="C2" s="182"/>
      <c r="D2" s="183"/>
      <c r="E2" s="3"/>
      <c r="F2" s="3"/>
      <c r="G2" s="3" t="s">
        <v>254</v>
      </c>
      <c r="H2" s="3"/>
      <c r="J2" s="3"/>
      <c r="K2" s="3"/>
      <c r="L2" s="3" t="s">
        <v>254</v>
      </c>
      <c r="M2" s="3"/>
      <c r="O2" s="3"/>
      <c r="P2" s="3"/>
      <c r="Q2" s="3" t="s">
        <v>254</v>
      </c>
    </row>
    <row r="3" spans="1:18" ht="15.75" thickBot="1"/>
    <row r="4" spans="1:18" ht="12.75" customHeight="1">
      <c r="A4" s="184" t="s">
        <v>29</v>
      </c>
      <c r="B4" s="186" t="s">
        <v>30</v>
      </c>
      <c r="C4" s="188" t="s">
        <v>31</v>
      </c>
      <c r="D4" s="179" t="s">
        <v>281</v>
      </c>
      <c r="E4" s="180"/>
      <c r="F4" s="180"/>
      <c r="G4" s="180"/>
      <c r="H4" s="181"/>
      <c r="I4" s="179" t="s">
        <v>282</v>
      </c>
      <c r="J4" s="180"/>
      <c r="K4" s="180"/>
      <c r="L4" s="180"/>
      <c r="M4" s="181"/>
      <c r="N4" s="179" t="s">
        <v>283</v>
      </c>
      <c r="O4" s="180"/>
      <c r="P4" s="180"/>
      <c r="Q4" s="180"/>
      <c r="R4" s="181"/>
    </row>
    <row r="5" spans="1:18" s="5" customFormat="1">
      <c r="A5" s="185"/>
      <c r="B5" s="187"/>
      <c r="C5" s="189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190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21" t="s">
        <v>15</v>
      </c>
      <c r="B7" s="122" t="s">
        <v>32</v>
      </c>
      <c r="C7" s="123" t="s">
        <v>33</v>
      </c>
      <c r="D7" s="105">
        <f>D16</f>
        <v>307083.28000000003</v>
      </c>
      <c r="E7" s="106">
        <f>E16</f>
        <v>276917.53700000001</v>
      </c>
      <c r="F7" s="106">
        <f>SUM(F11:F16)</f>
        <v>194927.92900000006</v>
      </c>
      <c r="G7" s="106">
        <f>SUM(G11:G16)</f>
        <v>19442.102000000079</v>
      </c>
      <c r="H7" s="107"/>
      <c r="I7" s="105">
        <f>I16</f>
        <v>317972.467</v>
      </c>
      <c r="J7" s="106">
        <f>J16</f>
        <v>274650.67</v>
      </c>
      <c r="K7" s="106">
        <f>SUM(K11:K16)</f>
        <v>207718.71299999999</v>
      </c>
      <c r="L7" s="106">
        <f>SUM(L11:L16)</f>
        <v>17967.180000000015</v>
      </c>
      <c r="M7" s="107"/>
      <c r="N7" s="154">
        <f>N16</f>
        <v>625055.74699999986</v>
      </c>
      <c r="O7" s="106">
        <f>O16</f>
        <v>551568.20699999994</v>
      </c>
      <c r="P7" s="106">
        <f>SUM(P11:P16)</f>
        <v>402646.64199999999</v>
      </c>
      <c r="Q7" s="106">
        <f>SUM(Q11:Q16)</f>
        <v>37409.282000000094</v>
      </c>
      <c r="R7" s="107"/>
    </row>
    <row r="8" spans="1:18" s="4" customFormat="1">
      <c r="A8" s="124" t="s">
        <v>2</v>
      </c>
      <c r="B8" s="125" t="s">
        <v>34</v>
      </c>
      <c r="C8" s="126" t="s">
        <v>33</v>
      </c>
      <c r="D8" s="21"/>
      <c r="E8" s="108"/>
      <c r="F8" s="108">
        <f>F11</f>
        <v>166383.15200000006</v>
      </c>
      <c r="G8" s="108">
        <f>G12</f>
        <v>17821.136000000079</v>
      </c>
      <c r="H8" s="109"/>
      <c r="I8" s="21"/>
      <c r="J8" s="108"/>
      <c r="K8" s="108">
        <f>K11</f>
        <v>166081.476</v>
      </c>
      <c r="L8" s="108">
        <f>L12</f>
        <v>16282.620000000014</v>
      </c>
      <c r="M8" s="109"/>
      <c r="N8" s="21"/>
      <c r="O8" s="108"/>
      <c r="P8" s="108">
        <f>P11</f>
        <v>332464.62800000003</v>
      </c>
      <c r="Q8" s="108">
        <f>Q12</f>
        <v>34103.756000000096</v>
      </c>
      <c r="R8" s="109"/>
    </row>
    <row r="9" spans="1:18">
      <c r="A9" s="124"/>
      <c r="B9" s="125" t="s">
        <v>35</v>
      </c>
      <c r="C9" s="127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124"/>
      <c r="B10" s="125" t="s">
        <v>36</v>
      </c>
      <c r="C10" s="126" t="s">
        <v>37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124"/>
      <c r="B11" s="125" t="s">
        <v>6</v>
      </c>
      <c r="C11" s="126" t="s">
        <v>33</v>
      </c>
      <c r="D11" s="16"/>
      <c r="E11" s="17"/>
      <c r="F11" s="19">
        <f>E16-E22-E29-E33-E35</f>
        <v>166383.15200000006</v>
      </c>
      <c r="G11" s="19"/>
      <c r="H11" s="20"/>
      <c r="I11" s="16"/>
      <c r="J11" s="17"/>
      <c r="K11" s="19">
        <f>J16-J22-J29-J33-J35</f>
        <v>166081.476</v>
      </c>
      <c r="L11" s="19"/>
      <c r="M11" s="20"/>
      <c r="N11" s="16"/>
      <c r="O11" s="17"/>
      <c r="P11" s="19">
        <f>F11+K11</f>
        <v>332464.62800000003</v>
      </c>
      <c r="Q11" s="19"/>
      <c r="R11" s="20"/>
    </row>
    <row r="12" spans="1:18">
      <c r="A12" s="124"/>
      <c r="B12" s="125" t="s">
        <v>7</v>
      </c>
      <c r="C12" s="126" t="s">
        <v>33</v>
      </c>
      <c r="D12" s="16"/>
      <c r="E12" s="17"/>
      <c r="F12" s="17"/>
      <c r="G12" s="19">
        <f>F7-F22-F33-F35</f>
        <v>17821.136000000079</v>
      </c>
      <c r="H12" s="20"/>
      <c r="I12" s="16"/>
      <c r="J12" s="17"/>
      <c r="K12" s="17"/>
      <c r="L12" s="19">
        <f>K7-K22-K33-K35</f>
        <v>16282.620000000014</v>
      </c>
      <c r="M12" s="20"/>
      <c r="N12" s="16"/>
      <c r="O12" s="17"/>
      <c r="P12" s="17"/>
      <c r="Q12" s="19">
        <f>G12+L12</f>
        <v>34103.756000000096</v>
      </c>
      <c r="R12" s="20"/>
    </row>
    <row r="13" spans="1:18">
      <c r="A13" s="124"/>
      <c r="B13" s="125" t="s">
        <v>8</v>
      </c>
      <c r="C13" s="126" t="s">
        <v>33</v>
      </c>
      <c r="D13" s="16"/>
      <c r="E13" s="17"/>
      <c r="F13" s="17"/>
      <c r="G13" s="17"/>
      <c r="H13" s="20"/>
      <c r="I13" s="16"/>
      <c r="J13" s="17"/>
      <c r="K13" s="17"/>
      <c r="L13" s="17"/>
      <c r="M13" s="20"/>
      <c r="N13" s="16"/>
      <c r="O13" s="17"/>
      <c r="P13" s="17"/>
      <c r="Q13" s="17"/>
      <c r="R13" s="20"/>
    </row>
    <row r="14" spans="1:18">
      <c r="A14" s="124" t="s">
        <v>3</v>
      </c>
      <c r="B14" s="125" t="s">
        <v>38</v>
      </c>
      <c r="C14" s="126" t="s">
        <v>33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124" t="s">
        <v>4</v>
      </c>
      <c r="B15" s="125" t="s">
        <v>39</v>
      </c>
      <c r="C15" s="126" t="s">
        <v>33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124" t="s">
        <v>5</v>
      </c>
      <c r="B16" s="125" t="s">
        <v>270</v>
      </c>
      <c r="C16" s="126" t="s">
        <v>33</v>
      </c>
      <c r="D16" s="21">
        <f>SUM(E16:G16)</f>
        <v>307083.28000000003</v>
      </c>
      <c r="E16" s="19">
        <f>SUM(E17:E21)</f>
        <v>276917.53700000001</v>
      </c>
      <c r="F16" s="19">
        <f t="shared" ref="F16:G16" si="0">SUM(F18:F21)</f>
        <v>28544.777000000002</v>
      </c>
      <c r="G16" s="19">
        <f t="shared" si="0"/>
        <v>1620.9660000000001</v>
      </c>
      <c r="H16" s="20"/>
      <c r="I16" s="21">
        <f>SUM(J16:L16)</f>
        <v>317972.467</v>
      </c>
      <c r="J16" s="19">
        <f>SUM(J17:J21)</f>
        <v>274650.67</v>
      </c>
      <c r="K16" s="19">
        <f t="shared" ref="K16:L16" si="1">SUM(K18:K21)</f>
        <v>41637.236999999994</v>
      </c>
      <c r="L16" s="19">
        <f t="shared" si="1"/>
        <v>1684.56</v>
      </c>
      <c r="M16" s="20"/>
      <c r="N16" s="21">
        <f>O16+P16+Q16</f>
        <v>625055.74699999986</v>
      </c>
      <c r="O16" s="19">
        <f t="shared" ref="O16:Q22" si="2">E16+J16</f>
        <v>551568.20699999994</v>
      </c>
      <c r="P16" s="19">
        <f t="shared" si="2"/>
        <v>70182.013999999996</v>
      </c>
      <c r="Q16" s="19">
        <f t="shared" si="2"/>
        <v>3305.5259999999998</v>
      </c>
      <c r="R16" s="20"/>
    </row>
    <row r="17" spans="1:18" ht="16.5" customHeight="1">
      <c r="A17" s="124" t="s">
        <v>264</v>
      </c>
      <c r="B17" s="166" t="s">
        <v>257</v>
      </c>
      <c r="C17" s="126" t="s">
        <v>33</v>
      </c>
      <c r="D17" s="21">
        <f t="shared" ref="D17:D21" si="3">SUM(E17:G17)</f>
        <v>17492.262999999999</v>
      </c>
      <c r="E17" s="19">
        <v>17492.262999999999</v>
      </c>
      <c r="F17" s="19"/>
      <c r="G17" s="19"/>
      <c r="H17" s="149"/>
      <c r="I17" s="21">
        <f t="shared" ref="I17:I21" si="4">SUM(J17:L17)</f>
        <v>18227.12</v>
      </c>
      <c r="J17" s="19">
        <v>18227.12</v>
      </c>
      <c r="K17" s="19"/>
      <c r="L17" s="19"/>
      <c r="M17" s="149"/>
      <c r="N17" s="21">
        <f t="shared" ref="N17:N21" si="5">O17+P17+Q17</f>
        <v>35719.383000000002</v>
      </c>
      <c r="O17" s="19">
        <f t="shared" si="2"/>
        <v>35719.383000000002</v>
      </c>
      <c r="P17" s="19"/>
      <c r="Q17" s="19"/>
      <c r="R17" s="149"/>
    </row>
    <row r="18" spans="1:18" ht="18" customHeight="1">
      <c r="A18" s="124" t="s">
        <v>265</v>
      </c>
      <c r="B18" s="165" t="s">
        <v>276</v>
      </c>
      <c r="C18" s="126" t="s">
        <v>33</v>
      </c>
      <c r="D18" s="21">
        <f t="shared" si="3"/>
        <v>255900.179</v>
      </c>
      <c r="E18" s="19">
        <v>226485.49400000001</v>
      </c>
      <c r="F18" s="19">
        <v>28216.554</v>
      </c>
      <c r="G18" s="19">
        <v>1198.1310000000001</v>
      </c>
      <c r="H18" s="149"/>
      <c r="I18" s="21">
        <f t="shared" si="4"/>
        <v>266952.73</v>
      </c>
      <c r="J18" s="19">
        <v>224311.79300000001</v>
      </c>
      <c r="K18" s="19">
        <v>41333.288999999997</v>
      </c>
      <c r="L18" s="19">
        <v>1307.6479999999999</v>
      </c>
      <c r="M18" s="149"/>
      <c r="N18" s="21">
        <f t="shared" si="5"/>
        <v>522852.90899999999</v>
      </c>
      <c r="O18" s="19">
        <f t="shared" si="2"/>
        <v>450797.28700000001</v>
      </c>
      <c r="P18" s="19">
        <f t="shared" ref="P18:P20" si="6">F18+K18</f>
        <v>69549.842999999993</v>
      </c>
      <c r="Q18" s="19">
        <f t="shared" ref="Q18" si="7">G18+L18</f>
        <v>2505.779</v>
      </c>
      <c r="R18" s="149"/>
    </row>
    <row r="19" spans="1:18" ht="14.25" customHeight="1">
      <c r="A19" s="124" t="s">
        <v>266</v>
      </c>
      <c r="B19" s="125" t="s">
        <v>258</v>
      </c>
      <c r="C19" s="126" t="s">
        <v>33</v>
      </c>
      <c r="D19" s="21">
        <f t="shared" si="3"/>
        <v>32939.78</v>
      </c>
      <c r="E19" s="19">
        <v>32939.78</v>
      </c>
      <c r="F19" s="19"/>
      <c r="G19" s="19"/>
      <c r="H19" s="149"/>
      <c r="I19" s="21">
        <f t="shared" si="4"/>
        <v>32111.757000000001</v>
      </c>
      <c r="J19" s="19">
        <v>32111.757000000001</v>
      </c>
      <c r="K19" s="19"/>
      <c r="L19" s="19"/>
      <c r="M19" s="149"/>
      <c r="N19" s="21">
        <f t="shared" si="5"/>
        <v>65051.536999999997</v>
      </c>
      <c r="O19" s="19">
        <f t="shared" si="2"/>
        <v>65051.536999999997</v>
      </c>
      <c r="P19" s="19"/>
      <c r="Q19" s="19"/>
      <c r="R19" s="149"/>
    </row>
    <row r="20" spans="1:18" ht="16.5" customHeight="1">
      <c r="A20" s="124" t="s">
        <v>267</v>
      </c>
      <c r="B20" s="125" t="s">
        <v>238</v>
      </c>
      <c r="C20" s="126" t="s">
        <v>33</v>
      </c>
      <c r="D20" s="21">
        <f t="shared" si="3"/>
        <v>328.22300000000001</v>
      </c>
      <c r="E20" s="19"/>
      <c r="F20" s="19">
        <v>328.22300000000001</v>
      </c>
      <c r="G20" s="19"/>
      <c r="H20" s="149"/>
      <c r="I20" s="21">
        <f t="shared" si="4"/>
        <v>303.94799999999998</v>
      </c>
      <c r="J20" s="19"/>
      <c r="K20" s="19">
        <v>303.94799999999998</v>
      </c>
      <c r="L20" s="19"/>
      <c r="M20" s="149"/>
      <c r="N20" s="21">
        <f t="shared" si="5"/>
        <v>632.17100000000005</v>
      </c>
      <c r="O20" s="19"/>
      <c r="P20" s="19">
        <f t="shared" si="6"/>
        <v>632.17100000000005</v>
      </c>
      <c r="Q20" s="19"/>
      <c r="R20" s="149"/>
    </row>
    <row r="21" spans="1:18" ht="15" customHeight="1">
      <c r="A21" s="124" t="s">
        <v>268</v>
      </c>
      <c r="B21" s="125" t="s">
        <v>269</v>
      </c>
      <c r="C21" s="126" t="s">
        <v>33</v>
      </c>
      <c r="D21" s="21">
        <f t="shared" si="3"/>
        <v>422.83499999999998</v>
      </c>
      <c r="E21" s="19"/>
      <c r="F21" s="19"/>
      <c r="G21" s="19">
        <v>422.83499999999998</v>
      </c>
      <c r="H21" s="149"/>
      <c r="I21" s="21">
        <f t="shared" si="4"/>
        <v>376.91199999999998</v>
      </c>
      <c r="J21" s="19"/>
      <c r="K21" s="19"/>
      <c r="L21" s="19">
        <v>376.91199999999998</v>
      </c>
      <c r="M21" s="149"/>
      <c r="N21" s="21">
        <f t="shared" si="5"/>
        <v>799.74699999999996</v>
      </c>
      <c r="O21" s="19"/>
      <c r="P21" s="19"/>
      <c r="Q21" s="19">
        <f t="shared" ref="Q21" si="8">G21+L21</f>
        <v>799.74699999999996</v>
      </c>
      <c r="R21" s="149"/>
    </row>
    <row r="22" spans="1:18" s="4" customFormat="1">
      <c r="A22" s="124" t="s">
        <v>19</v>
      </c>
      <c r="B22" s="125" t="s">
        <v>40</v>
      </c>
      <c r="C22" s="126" t="s">
        <v>33</v>
      </c>
      <c r="D22" s="21">
        <f>SUM(E22:G22)</f>
        <v>6303.9230000000007</v>
      </c>
      <c r="E22" s="108">
        <v>4455.692</v>
      </c>
      <c r="F22" s="108">
        <v>1787.0550000000001</v>
      </c>
      <c r="G22" s="108">
        <v>61.176000000000002</v>
      </c>
      <c r="H22" s="110"/>
      <c r="I22" s="21">
        <f>SUM(J22:L22)</f>
        <v>6558.3959999999997</v>
      </c>
      <c r="J22" s="108">
        <v>4498.8819999999996</v>
      </c>
      <c r="K22" s="108">
        <v>1916.482</v>
      </c>
      <c r="L22" s="108">
        <v>143.03200000000001</v>
      </c>
      <c r="M22" s="110"/>
      <c r="N22" s="21">
        <f>O22+P22+Q22</f>
        <v>12862.319000000001</v>
      </c>
      <c r="O22" s="108">
        <f t="shared" si="2"/>
        <v>8954.5740000000005</v>
      </c>
      <c r="P22" s="108">
        <f t="shared" si="2"/>
        <v>3703.5370000000003</v>
      </c>
      <c r="Q22" s="108">
        <f t="shared" si="2"/>
        <v>204.20800000000003</v>
      </c>
      <c r="R22" s="110"/>
    </row>
    <row r="23" spans="1:18" s="4" customFormat="1">
      <c r="A23" s="124"/>
      <c r="B23" s="125" t="s">
        <v>41</v>
      </c>
      <c r="C23" s="126" t="s">
        <v>1</v>
      </c>
      <c r="D23" s="159">
        <f>D22/D16*100</f>
        <v>2.0528382398416483</v>
      </c>
      <c r="E23" s="160">
        <f>E22/E7*100</f>
        <v>1.6090320780225629</v>
      </c>
      <c r="F23" s="160">
        <f t="shared" ref="F23:G23" si="9">F22/F7*100</f>
        <v>0.91677729772627892</v>
      </c>
      <c r="G23" s="160">
        <f t="shared" si="9"/>
        <v>0.31465733489105113</v>
      </c>
      <c r="H23" s="161"/>
      <c r="I23" s="159">
        <f>I22/I16*100</f>
        <v>2.0625672599508436</v>
      </c>
      <c r="J23" s="160">
        <f>J22/J7*100</f>
        <v>1.6380378755311245</v>
      </c>
      <c r="K23" s="160">
        <f t="shared" ref="K23" si="10">K22/K7*100</f>
        <v>0.92263329207128297</v>
      </c>
      <c r="L23" s="160">
        <f t="shared" ref="L23" si="11">L22/L7*100</f>
        <v>0.79607372998990322</v>
      </c>
      <c r="M23" s="161"/>
      <c r="N23" s="159">
        <f>N22/N16*100</f>
        <v>2.0577874952328061</v>
      </c>
      <c r="O23" s="160">
        <f>O22/O7*100</f>
        <v>1.6234753719225881</v>
      </c>
      <c r="P23" s="160">
        <f t="shared" ref="P23" si="12">P22/P7*100</f>
        <v>0.91979830791684603</v>
      </c>
      <c r="Q23" s="160">
        <f t="shared" ref="Q23" si="13">Q22/Q7*100</f>
        <v>0.54587521888284174</v>
      </c>
      <c r="R23" s="109"/>
    </row>
    <row r="24" spans="1:18" s="4" customFormat="1" ht="28.5" customHeight="1">
      <c r="A24" s="128" t="s">
        <v>42</v>
      </c>
      <c r="B24" s="125" t="s">
        <v>43</v>
      </c>
      <c r="C24" s="126" t="s">
        <v>33</v>
      </c>
      <c r="D24" s="21"/>
      <c r="E24" s="108"/>
      <c r="F24" s="108"/>
      <c r="G24" s="108"/>
      <c r="H24" s="109"/>
      <c r="I24" s="21"/>
      <c r="J24" s="108"/>
      <c r="K24" s="108"/>
      <c r="L24" s="108"/>
      <c r="M24" s="109"/>
      <c r="N24" s="21"/>
      <c r="O24" s="108"/>
      <c r="P24" s="108"/>
      <c r="Q24" s="108"/>
      <c r="R24" s="109"/>
    </row>
    <row r="25" spans="1:18" s="4" customFormat="1" ht="31.5" customHeight="1">
      <c r="A25" s="128" t="s">
        <v>44</v>
      </c>
      <c r="B25" s="125" t="s">
        <v>45</v>
      </c>
      <c r="C25" s="126" t="s">
        <v>33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128" t="s">
        <v>46</v>
      </c>
      <c r="B26" s="125" t="s">
        <v>47</v>
      </c>
      <c r="C26" s="126" t="s">
        <v>33</v>
      </c>
      <c r="D26" s="21">
        <f>E26+F26+G26</f>
        <v>6303.9230000000007</v>
      </c>
      <c r="E26" s="19">
        <f>SUM(E27:E28)</f>
        <v>4455.692</v>
      </c>
      <c r="F26" s="19">
        <f t="shared" ref="F26:G26" si="14">SUM(F27:F28)</f>
        <v>1787.0550000000001</v>
      </c>
      <c r="G26" s="19">
        <f t="shared" si="14"/>
        <v>61.176000000000002</v>
      </c>
      <c r="H26" s="20"/>
      <c r="I26" s="21">
        <f>SUM(J26:L26)</f>
        <v>6558.3960000000006</v>
      </c>
      <c r="J26" s="19">
        <f>SUM(J27:J28)</f>
        <v>4498.8820000000005</v>
      </c>
      <c r="K26" s="19">
        <f t="shared" ref="K26" si="15">SUM(K27:K28)</f>
        <v>1916.482</v>
      </c>
      <c r="L26" s="19">
        <f t="shared" ref="L26" si="16">SUM(L27:L28)</f>
        <v>143.03200000000001</v>
      </c>
      <c r="M26" s="20"/>
      <c r="N26" s="21">
        <f>O26+P26+Q26</f>
        <v>12862.319000000001</v>
      </c>
      <c r="O26" s="19">
        <f t="shared" ref="O26:O31" si="17">E26+J26</f>
        <v>8954.5740000000005</v>
      </c>
      <c r="P26" s="19">
        <f t="shared" ref="P26:P27" si="18">F26+K26</f>
        <v>3703.5370000000003</v>
      </c>
      <c r="Q26" s="19">
        <f t="shared" ref="Q26:Q27" si="19">G26+L26</f>
        <v>204.20800000000003</v>
      </c>
      <c r="R26" s="20"/>
    </row>
    <row r="27" spans="1:18" s="4" customFormat="1" ht="30">
      <c r="A27" s="128" t="s">
        <v>48</v>
      </c>
      <c r="B27" s="125" t="s">
        <v>231</v>
      </c>
      <c r="C27" s="126" t="s">
        <v>33</v>
      </c>
      <c r="D27" s="21">
        <f>E27+F27+G27</f>
        <v>6302.6870000000008</v>
      </c>
      <c r="E27" s="19">
        <v>4454.4560000000001</v>
      </c>
      <c r="F27" s="19">
        <v>1787.0550000000001</v>
      </c>
      <c r="G27" s="19">
        <v>61.176000000000002</v>
      </c>
      <c r="H27" s="20"/>
      <c r="I27" s="21">
        <f>SUM(J27:L27)</f>
        <v>6557.2300000000005</v>
      </c>
      <c r="J27" s="19">
        <v>4497.7160000000003</v>
      </c>
      <c r="K27" s="19">
        <v>1916.482</v>
      </c>
      <c r="L27" s="19">
        <v>143.03200000000001</v>
      </c>
      <c r="M27" s="149"/>
      <c r="N27" s="21">
        <f t="shared" ref="N27:N29" si="20">O27+P27+Q27</f>
        <v>12859.917000000001</v>
      </c>
      <c r="O27" s="19">
        <f>E27+J27</f>
        <v>8952.1720000000005</v>
      </c>
      <c r="P27" s="19">
        <f t="shared" si="18"/>
        <v>3703.5370000000003</v>
      </c>
      <c r="Q27" s="19">
        <f t="shared" si="19"/>
        <v>204.20800000000003</v>
      </c>
      <c r="R27" s="20"/>
    </row>
    <row r="28" spans="1:18" s="4" customFormat="1" ht="30">
      <c r="A28" s="128" t="s">
        <v>277</v>
      </c>
      <c r="B28" s="125" t="s">
        <v>278</v>
      </c>
      <c r="C28" s="126" t="s">
        <v>33</v>
      </c>
      <c r="D28" s="21">
        <f>E28+F28+G28</f>
        <v>1.236</v>
      </c>
      <c r="E28" s="19">
        <v>1.236</v>
      </c>
      <c r="F28" s="19"/>
      <c r="G28" s="19"/>
      <c r="H28" s="20"/>
      <c r="I28" s="21">
        <f>SUM(J28:L28)</f>
        <v>1.1659999999999999</v>
      </c>
      <c r="J28" s="19">
        <v>1.1659999999999999</v>
      </c>
      <c r="K28" s="19"/>
      <c r="L28" s="19"/>
      <c r="M28" s="149"/>
      <c r="N28" s="21">
        <f t="shared" ref="N28" si="21">O28+P28+Q28</f>
        <v>2.4020000000000001</v>
      </c>
      <c r="O28" s="19">
        <f t="shared" si="17"/>
        <v>2.4020000000000001</v>
      </c>
      <c r="P28" s="19"/>
      <c r="Q28" s="19"/>
      <c r="R28" s="20"/>
    </row>
    <row r="29" spans="1:18" s="4" customFormat="1" ht="30">
      <c r="A29" s="124" t="s">
        <v>21</v>
      </c>
      <c r="B29" s="125" t="s">
        <v>49</v>
      </c>
      <c r="C29" s="126" t="s">
        <v>33</v>
      </c>
      <c r="D29" s="21">
        <f>SUM(E29:G29)</f>
        <v>392.38</v>
      </c>
      <c r="E29" s="19">
        <v>224.578</v>
      </c>
      <c r="F29" s="19"/>
      <c r="G29" s="19">
        <v>167.80199999999999</v>
      </c>
      <c r="H29" s="20"/>
      <c r="I29" s="21">
        <f>J29+L29</f>
        <v>325.20299999999997</v>
      </c>
      <c r="J29" s="19">
        <v>157.85599999999999</v>
      </c>
      <c r="K29" s="19"/>
      <c r="L29" s="19">
        <v>167.34700000000001</v>
      </c>
      <c r="M29" s="149"/>
      <c r="N29" s="21">
        <f t="shared" si="20"/>
        <v>717.58299999999997</v>
      </c>
      <c r="O29" s="19">
        <f t="shared" si="17"/>
        <v>382.43399999999997</v>
      </c>
      <c r="P29" s="19"/>
      <c r="Q29" s="19">
        <f t="shared" ref="Q29:Q31" si="22">G29+L29</f>
        <v>335.149</v>
      </c>
      <c r="R29" s="20"/>
    </row>
    <row r="30" spans="1:18">
      <c r="A30" s="124" t="s">
        <v>22</v>
      </c>
      <c r="B30" s="125" t="s">
        <v>50</v>
      </c>
      <c r="C30" s="126" t="s">
        <v>33</v>
      </c>
      <c r="D30" s="21">
        <f>SUM(E30:G30)</f>
        <v>300386.97700000001</v>
      </c>
      <c r="E30" s="108">
        <f>SUM(E33:E35)</f>
        <v>105854.11500000001</v>
      </c>
      <c r="F30" s="108">
        <f t="shared" ref="F30:G30" si="23">SUM(F33:F35)</f>
        <v>175319.73799999998</v>
      </c>
      <c r="G30" s="108">
        <f t="shared" si="23"/>
        <v>19213.124</v>
      </c>
      <c r="H30" s="109"/>
      <c r="I30" s="21">
        <f>SUM(J30:L30)</f>
        <v>311088.86799999996</v>
      </c>
      <c r="J30" s="108">
        <f>SUM(J33:J36)</f>
        <v>103912.45600000001</v>
      </c>
      <c r="K30" s="108">
        <f t="shared" ref="K30:L30" si="24">SUM(K33:K36)</f>
        <v>189519.61099999998</v>
      </c>
      <c r="L30" s="108">
        <f t="shared" si="24"/>
        <v>17656.800999999999</v>
      </c>
      <c r="M30" s="150"/>
      <c r="N30" s="152">
        <f>D30+I30</f>
        <v>611475.84499999997</v>
      </c>
      <c r="O30" s="108">
        <f>E30+J30</f>
        <v>209766.571</v>
      </c>
      <c r="P30" s="108">
        <f t="shared" ref="P30:P31" si="25">F30+K30</f>
        <v>364839.34899999993</v>
      </c>
      <c r="Q30" s="108">
        <f t="shared" si="22"/>
        <v>36869.925000000003</v>
      </c>
      <c r="R30" s="109"/>
    </row>
    <row r="31" spans="1:18">
      <c r="A31" s="124" t="s">
        <v>10</v>
      </c>
      <c r="B31" s="125" t="s">
        <v>51</v>
      </c>
      <c r="C31" s="126" t="s">
        <v>33</v>
      </c>
      <c r="D31" s="21">
        <f>SUM(E31:G31)</f>
        <v>300386.97700000001</v>
      </c>
      <c r="E31" s="108">
        <f>'П1.6'!D41</f>
        <v>105854.11499999999</v>
      </c>
      <c r="F31" s="108">
        <f>'П1.6'!E41</f>
        <v>175319.73800000001</v>
      </c>
      <c r="G31" s="108">
        <f>'П1.6'!F41</f>
        <v>19213.123999999996</v>
      </c>
      <c r="H31" s="110"/>
      <c r="I31" s="21">
        <f>SUM(J31:L31)</f>
        <v>311088.86800000002</v>
      </c>
      <c r="J31" s="108">
        <f>'П1.6'!D80</f>
        <v>103912.45600000001</v>
      </c>
      <c r="K31" s="108">
        <f>'П1.6'!E80</f>
        <v>189519.611</v>
      </c>
      <c r="L31" s="108">
        <f>'П1.6'!F80</f>
        <v>17656.800999999999</v>
      </c>
      <c r="M31" s="150"/>
      <c r="N31" s="152">
        <f t="shared" ref="N31" si="26">D31+I31</f>
        <v>611475.84499999997</v>
      </c>
      <c r="O31" s="108">
        <f t="shared" si="17"/>
        <v>209766.571</v>
      </c>
      <c r="P31" s="108">
        <f t="shared" si="25"/>
        <v>364839.34900000005</v>
      </c>
      <c r="Q31" s="108">
        <f t="shared" si="22"/>
        <v>36869.924999999996</v>
      </c>
      <c r="R31" s="110"/>
    </row>
    <row r="32" spans="1:18">
      <c r="A32" s="124"/>
      <c r="B32" s="125" t="s">
        <v>52</v>
      </c>
      <c r="C32" s="126" t="s">
        <v>33</v>
      </c>
      <c r="D32" s="16"/>
      <c r="E32" s="17"/>
      <c r="F32" s="17"/>
      <c r="G32" s="17"/>
      <c r="H32" s="18"/>
      <c r="I32" s="16"/>
      <c r="J32" s="17"/>
      <c r="K32" s="17"/>
      <c r="L32" s="17"/>
      <c r="M32" s="151"/>
      <c r="N32" s="153"/>
      <c r="O32" s="17"/>
      <c r="P32" s="17"/>
      <c r="Q32" s="17"/>
      <c r="R32" s="18"/>
    </row>
    <row r="33" spans="1:18" ht="36.75" customHeight="1">
      <c r="A33" s="124"/>
      <c r="B33" s="125" t="s">
        <v>53</v>
      </c>
      <c r="C33" s="126" t="s">
        <v>33</v>
      </c>
      <c r="D33" s="21">
        <f>SUM(E33:G33)</f>
        <v>263601.38800000004</v>
      </c>
      <c r="E33" s="19">
        <v>100161.52800000001</v>
      </c>
      <c r="F33" s="19">
        <v>144484.81899999999</v>
      </c>
      <c r="G33" s="19">
        <v>18955.041000000001</v>
      </c>
      <c r="H33" s="20"/>
      <c r="I33" s="21">
        <f>SUM(J33:L33)</f>
        <v>275046.89199999999</v>
      </c>
      <c r="J33" s="19">
        <v>97595.822</v>
      </c>
      <c r="K33" s="19">
        <v>160016.11799999999</v>
      </c>
      <c r="L33" s="19">
        <v>17434.952000000001</v>
      </c>
      <c r="M33" s="149"/>
      <c r="N33" s="21">
        <f t="shared" ref="N33:N35" si="27">O33+P33+Q33</f>
        <v>538648.28</v>
      </c>
      <c r="O33" s="19">
        <f t="shared" ref="O33:O35" si="28">E33+J33</f>
        <v>197757.35</v>
      </c>
      <c r="P33" s="19">
        <f t="shared" ref="P33:P35" si="29">F33+K33</f>
        <v>304500.93699999998</v>
      </c>
      <c r="Q33" s="19">
        <f t="shared" ref="Q33:Q35" si="30">G33+L33</f>
        <v>36389.993000000002</v>
      </c>
      <c r="R33" s="20"/>
    </row>
    <row r="34" spans="1:18" ht="45">
      <c r="A34" s="124"/>
      <c r="B34" s="125" t="s">
        <v>54</v>
      </c>
      <c r="C34" s="126" t="s">
        <v>33</v>
      </c>
      <c r="D34" s="21"/>
      <c r="E34" s="19"/>
      <c r="F34" s="19"/>
      <c r="G34" s="19"/>
      <c r="H34" s="20"/>
      <c r="I34" s="21"/>
      <c r="J34" s="19"/>
      <c r="K34" s="19"/>
      <c r="L34" s="19"/>
      <c r="M34" s="20"/>
      <c r="N34" s="21"/>
      <c r="O34" s="19"/>
      <c r="P34" s="19"/>
      <c r="Q34" s="19"/>
      <c r="R34" s="20"/>
    </row>
    <row r="35" spans="1:18" ht="30">
      <c r="A35" s="129" t="s">
        <v>11</v>
      </c>
      <c r="B35" s="125" t="s">
        <v>55</v>
      </c>
      <c r="C35" s="126" t="s">
        <v>33</v>
      </c>
      <c r="D35" s="21">
        <f>SUM(E35:G35)</f>
        <v>36785.589</v>
      </c>
      <c r="E35" s="19">
        <v>5692.5870000000004</v>
      </c>
      <c r="F35" s="19">
        <v>30834.919000000002</v>
      </c>
      <c r="G35" s="19">
        <v>258.08300000000003</v>
      </c>
      <c r="H35" s="20"/>
      <c r="I35" s="21">
        <f>SUM(J35:L35)</f>
        <v>36041.976000000002</v>
      </c>
      <c r="J35" s="19">
        <v>6316.634</v>
      </c>
      <c r="K35" s="19">
        <v>29503.492999999999</v>
      </c>
      <c r="L35" s="19">
        <v>221.84899999999999</v>
      </c>
      <c r="M35" s="20"/>
      <c r="N35" s="21">
        <f t="shared" si="27"/>
        <v>72827.565000000002</v>
      </c>
      <c r="O35" s="19">
        <f t="shared" si="28"/>
        <v>12009.221000000001</v>
      </c>
      <c r="P35" s="19">
        <f t="shared" si="29"/>
        <v>60338.411999999997</v>
      </c>
      <c r="Q35" s="19">
        <f t="shared" si="30"/>
        <v>479.93200000000002</v>
      </c>
      <c r="R35" s="20"/>
    </row>
    <row r="36" spans="1:18" s="4" customFormat="1" ht="15.75" customHeight="1">
      <c r="A36" s="124" t="s">
        <v>27</v>
      </c>
      <c r="B36" s="125" t="s">
        <v>56</v>
      </c>
      <c r="C36" s="126" t="s">
        <v>33</v>
      </c>
      <c r="D36" s="21"/>
      <c r="E36" s="19"/>
      <c r="F36" s="19"/>
      <c r="G36" s="19"/>
      <c r="H36" s="20"/>
      <c r="I36" s="21"/>
      <c r="J36" s="19"/>
      <c r="K36" s="19"/>
      <c r="L36" s="19"/>
      <c r="M36" s="20"/>
      <c r="N36" s="21"/>
      <c r="O36" s="19"/>
      <c r="P36" s="19"/>
      <c r="Q36" s="19"/>
      <c r="R36" s="20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>
      <c r="A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1">
    <tabColor rgb="FFFF0000"/>
  </sheetPr>
  <dimension ref="A1:AB40"/>
  <sheetViews>
    <sheetView tabSelected="1" view="pageBreakPreview" zoomScaleNormal="75" zoomScaleSheetLayoutView="100" workbookViewId="0">
      <selection activeCell="AB36" sqref="AB36"/>
    </sheetView>
  </sheetViews>
  <sheetFormatPr defaultColWidth="9.140625" defaultRowHeight="12.75"/>
  <cols>
    <col min="1" max="1" width="6.140625" style="22" customWidth="1"/>
    <col min="2" max="2" width="45.42578125" style="22" customWidth="1"/>
    <col min="3" max="3" width="6.5703125" style="23" customWidth="1"/>
    <col min="4" max="4" width="9.140625" style="22" customWidth="1"/>
    <col min="5" max="7" width="10.5703125" style="22" customWidth="1"/>
    <col min="8" max="8" width="8" style="22" customWidth="1"/>
    <col min="9" max="13" width="10.5703125" style="22" customWidth="1"/>
    <col min="14" max="14" width="9.140625" style="22" customWidth="1"/>
    <col min="15" max="17" width="10.5703125" style="22" customWidth="1"/>
    <col min="18" max="18" width="8" style="22" customWidth="1"/>
    <col min="19" max="24" width="0" style="22" hidden="1" customWidth="1"/>
    <col min="25" max="16384" width="9.140625" style="22"/>
  </cols>
  <sheetData>
    <row r="1" spans="1:28" ht="20.25">
      <c r="B1" s="156" t="str">
        <f>'П1.4'!B1</f>
        <v>ОАО "КузбассЭлектро"</v>
      </c>
    </row>
    <row r="2" spans="1:28" s="1" customFormat="1" ht="15.75">
      <c r="A2" s="191" t="s">
        <v>229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" t="s">
        <v>253</v>
      </c>
    </row>
    <row r="3" spans="1:28" ht="13.5" thickBot="1"/>
    <row r="4" spans="1:28" s="24" customFormat="1" ht="15">
      <c r="A4" s="193" t="s">
        <v>29</v>
      </c>
      <c r="B4" s="194" t="s">
        <v>30</v>
      </c>
      <c r="C4" s="196" t="s">
        <v>31</v>
      </c>
      <c r="D4" s="179" t="str">
        <f>'П1.4'!D4:H4</f>
        <v>Факт 1 полугодие 2022г.</v>
      </c>
      <c r="E4" s="180"/>
      <c r="F4" s="180"/>
      <c r="G4" s="180"/>
      <c r="H4" s="181"/>
      <c r="I4" s="179" t="str">
        <f>'П1.4'!I4:M4</f>
        <v>Факт 2 полугодие 2022г.</v>
      </c>
      <c r="J4" s="180"/>
      <c r="K4" s="180"/>
      <c r="L4" s="180"/>
      <c r="M4" s="181"/>
      <c r="N4" s="179" t="str">
        <f>'П1.4'!N4:R4</f>
        <v>ФАКТ 2022 год</v>
      </c>
      <c r="O4" s="180"/>
      <c r="P4" s="180"/>
      <c r="Q4" s="180"/>
      <c r="R4" s="181"/>
    </row>
    <row r="5" spans="1:28" s="28" customFormat="1">
      <c r="A5" s="193"/>
      <c r="B5" s="195"/>
      <c r="C5" s="197"/>
      <c r="D5" s="25" t="s">
        <v>0</v>
      </c>
      <c r="E5" s="26" t="s">
        <v>6</v>
      </c>
      <c r="F5" s="26" t="s">
        <v>7</v>
      </c>
      <c r="G5" s="26" t="s">
        <v>8</v>
      </c>
      <c r="H5" s="27" t="s">
        <v>9</v>
      </c>
      <c r="I5" s="25" t="s">
        <v>0</v>
      </c>
      <c r="J5" s="26" t="s">
        <v>6</v>
      </c>
      <c r="K5" s="26" t="s">
        <v>7</v>
      </c>
      <c r="L5" s="26" t="s">
        <v>8</v>
      </c>
      <c r="M5" s="27" t="s">
        <v>9</v>
      </c>
      <c r="N5" s="25" t="s">
        <v>0</v>
      </c>
      <c r="O5" s="26" t="s">
        <v>6</v>
      </c>
      <c r="P5" s="26" t="s">
        <v>7</v>
      </c>
      <c r="Q5" s="26" t="s">
        <v>8</v>
      </c>
      <c r="R5" s="27" t="s">
        <v>9</v>
      </c>
    </row>
    <row r="6" spans="1:28" s="28" customFormat="1" ht="13.5" thickBot="1">
      <c r="A6" s="29">
        <v>1</v>
      </c>
      <c r="B6" s="30">
        <v>2</v>
      </c>
      <c r="C6" s="198"/>
      <c r="D6" s="31">
        <f>1</f>
        <v>1</v>
      </c>
      <c r="E6" s="32">
        <f>D6+1</f>
        <v>2</v>
      </c>
      <c r="F6" s="32">
        <f>E6+1</f>
        <v>3</v>
      </c>
      <c r="G6" s="32">
        <f>F6+1</f>
        <v>4</v>
      </c>
      <c r="H6" s="33">
        <f>G6+1</f>
        <v>5</v>
      </c>
      <c r="I6" s="31">
        <f>1</f>
        <v>1</v>
      </c>
      <c r="J6" s="32">
        <f>I6+1</f>
        <v>2</v>
      </c>
      <c r="K6" s="32">
        <f>J6+1</f>
        <v>3</v>
      </c>
      <c r="L6" s="32">
        <f>K6+1</f>
        <v>4</v>
      </c>
      <c r="M6" s="33">
        <f>L6+1</f>
        <v>5</v>
      </c>
      <c r="N6" s="31">
        <f>1</f>
        <v>1</v>
      </c>
      <c r="O6" s="32">
        <f>N6+1</f>
        <v>2</v>
      </c>
      <c r="P6" s="32">
        <f>O6+1</f>
        <v>3</v>
      </c>
      <c r="Q6" s="32">
        <f>P6+1</f>
        <v>4</v>
      </c>
      <c r="R6" s="33">
        <f>Q6+1</f>
        <v>5</v>
      </c>
    </row>
    <row r="7" spans="1:28" s="24" customFormat="1">
      <c r="A7" s="130" t="s">
        <v>15</v>
      </c>
      <c r="B7" s="131" t="s">
        <v>57</v>
      </c>
      <c r="C7" s="132" t="s">
        <v>58</v>
      </c>
      <c r="D7" s="111">
        <f>D16</f>
        <v>82.218999999999994</v>
      </c>
      <c r="E7" s="111">
        <f t="shared" ref="E7" si="0">E12+E16</f>
        <v>70.567999999999998</v>
      </c>
      <c r="F7" s="111">
        <f>F11+F16</f>
        <v>51.795000000000002</v>
      </c>
      <c r="G7" s="111">
        <f>G12+G16</f>
        <v>5.5810000000000013</v>
      </c>
      <c r="H7" s="112"/>
      <c r="I7" s="111">
        <f>I16</f>
        <v>84.384999999999991</v>
      </c>
      <c r="J7" s="111">
        <f t="shared" ref="J7" si="1">J12+J16</f>
        <v>72.171999999999997</v>
      </c>
      <c r="K7" s="111">
        <f>K11+K16</f>
        <v>54.762999999999998</v>
      </c>
      <c r="L7" s="111">
        <f>L12+L16</f>
        <v>5.2099999999999991</v>
      </c>
      <c r="M7" s="112"/>
      <c r="N7" s="111">
        <f>N16</f>
        <v>83.302000000000021</v>
      </c>
      <c r="O7" s="111">
        <f t="shared" ref="O7" si="2">O12+O16</f>
        <v>71.369000000000014</v>
      </c>
      <c r="P7" s="111">
        <f>P11+P16+0.001</f>
        <v>53.279000000000003</v>
      </c>
      <c r="Q7" s="111">
        <f>Q12+Q16</f>
        <v>5.394500000000007</v>
      </c>
      <c r="R7" s="112"/>
      <c r="S7" s="24">
        <f>(D7*6+I7*6)/12</f>
        <v>83.301999999999992</v>
      </c>
      <c r="T7" s="24">
        <f t="shared" ref="T7:V27" si="3">(E7*6+J7*6)/12</f>
        <v>71.37</v>
      </c>
      <c r="U7" s="24">
        <f t="shared" si="3"/>
        <v>53.278999999999996</v>
      </c>
      <c r="V7" s="24">
        <f t="shared" si="3"/>
        <v>5.3954999999999993</v>
      </c>
    </row>
    <row r="8" spans="1:28" s="24" customFormat="1">
      <c r="A8" s="133" t="s">
        <v>2</v>
      </c>
      <c r="B8" s="134" t="s">
        <v>34</v>
      </c>
      <c r="C8" s="132" t="s">
        <v>58</v>
      </c>
      <c r="D8" s="39"/>
      <c r="E8" s="113"/>
      <c r="F8" s="113">
        <f>F11</f>
        <v>40.567</v>
      </c>
      <c r="G8" s="113">
        <f>G12</f>
        <v>5.1580000000000013</v>
      </c>
      <c r="H8" s="114"/>
      <c r="I8" s="39"/>
      <c r="J8" s="113"/>
      <c r="K8" s="113">
        <f>K11</f>
        <v>43.027999999999999</v>
      </c>
      <c r="L8" s="113">
        <f>L12</f>
        <v>4.7319999999999993</v>
      </c>
      <c r="M8" s="114"/>
      <c r="N8" s="39"/>
      <c r="O8" s="113"/>
      <c r="P8" s="113">
        <f>P11</f>
        <v>41.796500000000002</v>
      </c>
      <c r="Q8" s="113">
        <f>Q12</f>
        <v>4.9440000000000071</v>
      </c>
      <c r="R8" s="114"/>
      <c r="S8" s="24">
        <f t="shared" ref="S8:S36" si="4">(D8*6+I8*6)/12</f>
        <v>0</v>
      </c>
      <c r="T8" s="24">
        <f t="shared" si="3"/>
        <v>0</v>
      </c>
      <c r="U8" s="24">
        <f t="shared" si="3"/>
        <v>41.797499999999999</v>
      </c>
      <c r="V8" s="24">
        <f t="shared" si="3"/>
        <v>4.9450000000000003</v>
      </c>
    </row>
    <row r="9" spans="1:28">
      <c r="A9" s="133"/>
      <c r="B9" s="134" t="s">
        <v>35</v>
      </c>
      <c r="C9" s="132"/>
      <c r="D9" s="34"/>
      <c r="E9" s="35"/>
      <c r="F9" s="35"/>
      <c r="G9" s="35"/>
      <c r="H9" s="36"/>
      <c r="I9" s="34"/>
      <c r="J9" s="35"/>
      <c r="K9" s="35"/>
      <c r="L9" s="35"/>
      <c r="M9" s="36"/>
      <c r="N9" s="34"/>
      <c r="O9" s="35"/>
      <c r="P9" s="35"/>
      <c r="Q9" s="35"/>
      <c r="R9" s="36"/>
      <c r="S9" s="24">
        <f t="shared" si="4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</row>
    <row r="10" spans="1:28">
      <c r="A10" s="133"/>
      <c r="B10" s="134" t="s">
        <v>36</v>
      </c>
      <c r="C10" s="132" t="s">
        <v>58</v>
      </c>
      <c r="D10" s="34"/>
      <c r="E10" s="37"/>
      <c r="F10" s="37"/>
      <c r="G10" s="37"/>
      <c r="H10" s="38"/>
      <c r="I10" s="34"/>
      <c r="J10" s="37"/>
      <c r="K10" s="37"/>
      <c r="L10" s="37"/>
      <c r="M10" s="38"/>
      <c r="N10" s="34"/>
      <c r="O10" s="37"/>
      <c r="P10" s="37"/>
      <c r="Q10" s="37"/>
      <c r="R10" s="38"/>
      <c r="S10" s="24">
        <f t="shared" si="4"/>
        <v>0</v>
      </c>
      <c r="T10" s="24">
        <f t="shared" si="3"/>
        <v>0</v>
      </c>
      <c r="U10" s="24">
        <f t="shared" si="3"/>
        <v>0</v>
      </c>
      <c r="V10" s="24">
        <f t="shared" si="3"/>
        <v>0</v>
      </c>
    </row>
    <row r="11" spans="1:28">
      <c r="A11" s="133"/>
      <c r="B11" s="134" t="s">
        <v>6</v>
      </c>
      <c r="C11" s="132" t="s">
        <v>58</v>
      </c>
      <c r="D11" s="34"/>
      <c r="E11" s="35"/>
      <c r="F11" s="37">
        <f>E16-E22-E29-E33-E36</f>
        <v>40.567</v>
      </c>
      <c r="G11" s="37"/>
      <c r="H11" s="38"/>
      <c r="I11" s="34"/>
      <c r="J11" s="35"/>
      <c r="K11" s="37">
        <f>J16-J22-J29-J33-J36</f>
        <v>43.027999999999999</v>
      </c>
      <c r="L11" s="37"/>
      <c r="M11" s="38"/>
      <c r="N11" s="34"/>
      <c r="O11" s="35"/>
      <c r="P11" s="37">
        <f>O16-O22-O29-O33-O36-0.001</f>
        <v>41.796500000000002</v>
      </c>
      <c r="Q11" s="37"/>
      <c r="R11" s="38"/>
      <c r="S11" s="24">
        <f t="shared" si="4"/>
        <v>0</v>
      </c>
      <c r="T11" s="24">
        <f t="shared" si="3"/>
        <v>0</v>
      </c>
      <c r="U11" s="24">
        <f t="shared" si="3"/>
        <v>41.797499999999999</v>
      </c>
      <c r="V11" s="24">
        <f t="shared" si="3"/>
        <v>0</v>
      </c>
    </row>
    <row r="12" spans="1:28">
      <c r="A12" s="133"/>
      <c r="B12" s="134" t="s">
        <v>7</v>
      </c>
      <c r="C12" s="132" t="s">
        <v>58</v>
      </c>
      <c r="D12" s="34"/>
      <c r="E12" s="35"/>
      <c r="F12" s="35"/>
      <c r="G12" s="37">
        <f>F7-F22-F33-F36</f>
        <v>5.1580000000000013</v>
      </c>
      <c r="H12" s="38"/>
      <c r="I12" s="34"/>
      <c r="J12" s="35"/>
      <c r="K12" s="35"/>
      <c r="L12" s="37">
        <f>K7-K22-K33-K36</f>
        <v>4.7319999999999993</v>
      </c>
      <c r="M12" s="38"/>
      <c r="N12" s="34"/>
      <c r="O12" s="35"/>
      <c r="P12" s="35"/>
      <c r="Q12" s="37">
        <f>P7-P22-P33-P36-0.001</f>
        <v>4.9440000000000071</v>
      </c>
      <c r="R12" s="38"/>
      <c r="S12" s="24">
        <f t="shared" si="4"/>
        <v>0</v>
      </c>
      <c r="T12" s="24">
        <f t="shared" si="3"/>
        <v>0</v>
      </c>
      <c r="U12" s="24">
        <f t="shared" si="3"/>
        <v>0</v>
      </c>
      <c r="V12" s="24">
        <f t="shared" si="3"/>
        <v>4.9450000000000003</v>
      </c>
    </row>
    <row r="13" spans="1:28">
      <c r="A13" s="133"/>
      <c r="B13" s="134" t="s">
        <v>8</v>
      </c>
      <c r="C13" s="132" t="s">
        <v>58</v>
      </c>
      <c r="D13" s="34"/>
      <c r="E13" s="35"/>
      <c r="F13" s="35"/>
      <c r="G13" s="35"/>
      <c r="H13" s="38"/>
      <c r="I13" s="34"/>
      <c r="J13" s="35"/>
      <c r="K13" s="35"/>
      <c r="L13" s="35"/>
      <c r="M13" s="38"/>
      <c r="N13" s="34"/>
      <c r="O13" s="35"/>
      <c r="P13" s="35"/>
      <c r="Q13" s="35"/>
      <c r="R13" s="38"/>
      <c r="S13" s="24">
        <f t="shared" si="4"/>
        <v>0</v>
      </c>
      <c r="T13" s="24">
        <f t="shared" si="3"/>
        <v>0</v>
      </c>
      <c r="U13" s="24">
        <f t="shared" si="3"/>
        <v>0</v>
      </c>
      <c r="V13" s="24">
        <f t="shared" si="3"/>
        <v>0</v>
      </c>
    </row>
    <row r="14" spans="1:28" ht="15">
      <c r="A14" s="133" t="s">
        <v>3</v>
      </c>
      <c r="B14" s="125" t="s">
        <v>59</v>
      </c>
      <c r="C14" s="132" t="s">
        <v>58</v>
      </c>
      <c r="D14" s="39"/>
      <c r="E14" s="37"/>
      <c r="F14" s="37"/>
      <c r="G14" s="37"/>
      <c r="H14" s="38"/>
      <c r="I14" s="39"/>
      <c r="J14" s="37"/>
      <c r="K14" s="37"/>
      <c r="L14" s="37"/>
      <c r="M14" s="38"/>
      <c r="N14" s="39"/>
      <c r="O14" s="37"/>
      <c r="P14" s="37"/>
      <c r="Q14" s="37"/>
      <c r="R14" s="38"/>
      <c r="S14" s="24">
        <f t="shared" si="4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</row>
    <row r="15" spans="1:28" ht="15">
      <c r="A15" s="133" t="s">
        <v>4</v>
      </c>
      <c r="B15" s="125" t="s">
        <v>13</v>
      </c>
      <c r="C15" s="132" t="s">
        <v>58</v>
      </c>
      <c r="D15" s="39"/>
      <c r="E15" s="37"/>
      <c r="F15" s="37"/>
      <c r="G15" s="37"/>
      <c r="H15" s="38"/>
      <c r="I15" s="39"/>
      <c r="J15" s="37"/>
      <c r="K15" s="37"/>
      <c r="L15" s="37"/>
      <c r="M15" s="38"/>
      <c r="N15" s="39"/>
      <c r="O15" s="37"/>
      <c r="P15" s="37"/>
      <c r="Q15" s="37"/>
      <c r="R15" s="38"/>
      <c r="S15" s="24">
        <f t="shared" si="4"/>
        <v>0</v>
      </c>
      <c r="T15" s="24">
        <f t="shared" si="3"/>
        <v>0</v>
      </c>
      <c r="U15" s="24">
        <f t="shared" si="3"/>
        <v>0</v>
      </c>
      <c r="V15" s="24">
        <f t="shared" si="3"/>
        <v>0</v>
      </c>
    </row>
    <row r="16" spans="1:28" ht="15">
      <c r="A16" s="133" t="s">
        <v>5</v>
      </c>
      <c r="B16" s="125" t="s">
        <v>60</v>
      </c>
      <c r="C16" s="132" t="s">
        <v>58</v>
      </c>
      <c r="D16" s="39">
        <f>E16+F16+G16</f>
        <v>82.218999999999994</v>
      </c>
      <c r="E16" s="37">
        <f>SUM(E17:E21)</f>
        <v>70.567999999999998</v>
      </c>
      <c r="F16" s="37">
        <f>SUM(F17:F21)</f>
        <v>11.228</v>
      </c>
      <c r="G16" s="37">
        <f>SUM(G17:G21)</f>
        <v>0.42299999999999999</v>
      </c>
      <c r="H16" s="38"/>
      <c r="I16" s="39">
        <f>J16+K16+L16</f>
        <v>84.384999999999991</v>
      </c>
      <c r="J16" s="37">
        <f>SUM(J17:J21)</f>
        <v>72.171999999999997</v>
      </c>
      <c r="K16" s="37">
        <f>SUM(K17:K21)</f>
        <v>11.735000000000001</v>
      </c>
      <c r="L16" s="37">
        <f>SUM(L17:L21)</f>
        <v>0.47799999999999998</v>
      </c>
      <c r="M16" s="38"/>
      <c r="N16" s="39">
        <f>SUM(O16:Q16)+0.001</f>
        <v>83.302000000000021</v>
      </c>
      <c r="O16" s="37">
        <f>SUM(O17:O21)+0.001</f>
        <v>71.369000000000014</v>
      </c>
      <c r="P16" s="37">
        <f>SUM(P17:P21)</f>
        <v>11.4815</v>
      </c>
      <c r="Q16" s="37">
        <f t="shared" ref="Q16" si="5">SUM(Q17:Q21)</f>
        <v>0.45050000000000001</v>
      </c>
      <c r="R16" s="38"/>
      <c r="S16" s="24">
        <f t="shared" si="4"/>
        <v>83.301999999999992</v>
      </c>
      <c r="T16" s="24">
        <f t="shared" si="3"/>
        <v>71.37</v>
      </c>
      <c r="U16" s="24">
        <f t="shared" si="3"/>
        <v>11.481500000000002</v>
      </c>
      <c r="V16" s="24">
        <f t="shared" si="3"/>
        <v>0.45049999999999996</v>
      </c>
      <c r="Y16" s="178"/>
      <c r="Z16" s="178"/>
      <c r="AA16" s="178"/>
      <c r="AB16" s="178"/>
    </row>
    <row r="17" spans="1:28" ht="15">
      <c r="A17" s="124" t="s">
        <v>264</v>
      </c>
      <c r="B17" s="166" t="s">
        <v>257</v>
      </c>
      <c r="C17" s="132" t="s">
        <v>58</v>
      </c>
      <c r="D17" s="39">
        <f t="shared" ref="D17:D21" si="6">E17+F17+G17</f>
        <v>5.6</v>
      </c>
      <c r="E17" s="37">
        <v>5.6</v>
      </c>
      <c r="F17" s="37"/>
      <c r="G17" s="37"/>
      <c r="H17" s="38"/>
      <c r="I17" s="39">
        <f t="shared" ref="I17:I21" si="7">J17+K17+L17</f>
        <v>5.6</v>
      </c>
      <c r="J17" s="37">
        <v>5.6</v>
      </c>
      <c r="K17" s="37"/>
      <c r="L17" s="37"/>
      <c r="M17" s="38"/>
      <c r="N17" s="39">
        <f t="shared" ref="N17:N21" si="8">O17+P17+Q17</f>
        <v>5.6</v>
      </c>
      <c r="O17" s="37">
        <f>(E17+J17)/2</f>
        <v>5.6</v>
      </c>
      <c r="P17" s="37"/>
      <c r="Q17" s="37"/>
      <c r="R17" s="38"/>
      <c r="S17" s="24"/>
      <c r="T17" s="24"/>
      <c r="U17" s="24"/>
      <c r="V17" s="24"/>
      <c r="Y17" s="178"/>
      <c r="Z17" s="178"/>
      <c r="AA17" s="178"/>
      <c r="AB17" s="178"/>
    </row>
    <row r="18" spans="1:28" ht="15">
      <c r="A18" s="124" t="s">
        <v>265</v>
      </c>
      <c r="B18" s="167" t="s">
        <v>276</v>
      </c>
      <c r="C18" s="132" t="s">
        <v>58</v>
      </c>
      <c r="D18" s="39">
        <f t="shared" si="6"/>
        <v>68.736000000000004</v>
      </c>
      <c r="E18" s="37">
        <v>57.325000000000003</v>
      </c>
      <c r="F18" s="37">
        <v>11.096</v>
      </c>
      <c r="G18" s="37">
        <v>0.315</v>
      </c>
      <c r="H18" s="38"/>
      <c r="I18" s="39">
        <f t="shared" si="7"/>
        <v>70.798999999999992</v>
      </c>
      <c r="J18" s="37">
        <v>58.771999999999998</v>
      </c>
      <c r="K18" s="37">
        <v>11.643000000000001</v>
      </c>
      <c r="L18" s="37">
        <v>0.38400000000000001</v>
      </c>
      <c r="M18" s="38"/>
      <c r="N18" s="39">
        <f>O18+P18+Q18+0.001</f>
        <v>69.767500000000013</v>
      </c>
      <c r="O18" s="37">
        <f>(E18+J18)/2-0.001</f>
        <v>58.047500000000007</v>
      </c>
      <c r="P18" s="37">
        <f>(F18+K18)/2</f>
        <v>11.3695</v>
      </c>
      <c r="Q18" s="37">
        <f t="shared" ref="Q18" si="9">(G18+L18)/2</f>
        <v>0.34950000000000003</v>
      </c>
      <c r="R18" s="38"/>
      <c r="S18" s="24"/>
      <c r="T18" s="24"/>
      <c r="U18" s="24"/>
      <c r="V18" s="24"/>
      <c r="Y18" s="178"/>
      <c r="Z18" s="178"/>
      <c r="AA18" s="178"/>
      <c r="AB18" s="178"/>
    </row>
    <row r="19" spans="1:28" ht="15">
      <c r="A19" s="124" t="s">
        <v>266</v>
      </c>
      <c r="B19" s="125" t="s">
        <v>258</v>
      </c>
      <c r="C19" s="132" t="s">
        <v>58</v>
      </c>
      <c r="D19" s="39">
        <f t="shared" si="6"/>
        <v>7.6429999999999998</v>
      </c>
      <c r="E19" s="37">
        <v>7.6429999999999998</v>
      </c>
      <c r="F19" s="37"/>
      <c r="G19" s="37"/>
      <c r="H19" s="38"/>
      <c r="I19" s="39">
        <f t="shared" si="7"/>
        <v>7.8</v>
      </c>
      <c r="J19" s="37">
        <v>7.8</v>
      </c>
      <c r="K19" s="37"/>
      <c r="L19" s="37"/>
      <c r="M19" s="38"/>
      <c r="N19" s="39">
        <f t="shared" si="8"/>
        <v>7.7204999999999995</v>
      </c>
      <c r="O19" s="37">
        <f>(E19+J19)/2-0.001</f>
        <v>7.7204999999999995</v>
      </c>
      <c r="P19" s="37"/>
      <c r="Q19" s="37"/>
      <c r="R19" s="38"/>
      <c r="S19" s="24"/>
      <c r="T19" s="24"/>
      <c r="U19" s="24"/>
      <c r="V19" s="24"/>
      <c r="Y19" s="178"/>
      <c r="Z19" s="178"/>
      <c r="AA19" s="178"/>
      <c r="AB19" s="178"/>
    </row>
    <row r="20" spans="1:28" ht="15">
      <c r="A20" s="124" t="s">
        <v>267</v>
      </c>
      <c r="B20" s="125" t="s">
        <v>238</v>
      </c>
      <c r="C20" s="132" t="s">
        <v>58</v>
      </c>
      <c r="D20" s="39">
        <f t="shared" si="6"/>
        <v>0.13200000000000001</v>
      </c>
      <c r="E20" s="37"/>
      <c r="F20" s="37">
        <v>0.13200000000000001</v>
      </c>
      <c r="G20" s="37"/>
      <c r="H20" s="38"/>
      <c r="I20" s="39">
        <f t="shared" si="7"/>
        <v>9.1999999999999998E-2</v>
      </c>
      <c r="J20" s="37"/>
      <c r="K20" s="37">
        <v>9.1999999999999998E-2</v>
      </c>
      <c r="L20" s="37"/>
      <c r="M20" s="38"/>
      <c r="N20" s="39">
        <f t="shared" si="8"/>
        <v>0.112</v>
      </c>
      <c r="O20" s="37"/>
      <c r="P20" s="37">
        <f>(F20+K20)/2</f>
        <v>0.112</v>
      </c>
      <c r="Q20" s="37"/>
      <c r="R20" s="38"/>
      <c r="S20" s="24"/>
      <c r="T20" s="24"/>
      <c r="U20" s="24"/>
      <c r="V20" s="24"/>
      <c r="Y20" s="178"/>
      <c r="Z20" s="178"/>
      <c r="AA20" s="178"/>
      <c r="AB20" s="178"/>
    </row>
    <row r="21" spans="1:28" ht="15">
      <c r="A21" s="124" t="s">
        <v>268</v>
      </c>
      <c r="B21" s="125" t="s">
        <v>269</v>
      </c>
      <c r="C21" s="132" t="s">
        <v>58</v>
      </c>
      <c r="D21" s="39">
        <f t="shared" si="6"/>
        <v>0.108</v>
      </c>
      <c r="E21" s="37"/>
      <c r="F21" s="37"/>
      <c r="G21" s="37">
        <v>0.108</v>
      </c>
      <c r="H21" s="38"/>
      <c r="I21" s="39">
        <f t="shared" si="7"/>
        <v>9.4E-2</v>
      </c>
      <c r="J21" s="37"/>
      <c r="K21" s="37"/>
      <c r="L21" s="37">
        <v>9.4E-2</v>
      </c>
      <c r="M21" s="38"/>
      <c r="N21" s="39">
        <f t="shared" si="8"/>
        <v>0.10100000000000001</v>
      </c>
      <c r="O21" s="37"/>
      <c r="P21" s="37"/>
      <c r="Q21" s="37">
        <f>(G21+L21)/2</f>
        <v>0.10100000000000001</v>
      </c>
      <c r="R21" s="38"/>
      <c r="S21" s="24"/>
      <c r="T21" s="24"/>
      <c r="U21" s="24"/>
      <c r="V21" s="24"/>
      <c r="Y21" s="178"/>
      <c r="Z21" s="178"/>
      <c r="AA21" s="178"/>
      <c r="AB21" s="178"/>
    </row>
    <row r="22" spans="1:28" ht="15">
      <c r="A22" s="133" t="s">
        <v>19</v>
      </c>
      <c r="B22" s="125" t="s">
        <v>61</v>
      </c>
      <c r="C22" s="132" t="s">
        <v>58</v>
      </c>
      <c r="D22" s="39">
        <f>E22+F22+G22</f>
        <v>1.6819999999999997</v>
      </c>
      <c r="E22" s="37">
        <v>1.1879999999999999</v>
      </c>
      <c r="F22" s="37">
        <v>0.47499999999999998</v>
      </c>
      <c r="G22" s="37">
        <v>1.9E-2</v>
      </c>
      <c r="H22" s="38"/>
      <c r="I22" s="39">
        <f>J22+K22+L22</f>
        <v>1.7359999999999998</v>
      </c>
      <c r="J22" s="37">
        <v>1.19</v>
      </c>
      <c r="K22" s="37">
        <v>0.505</v>
      </c>
      <c r="L22" s="37">
        <v>4.1000000000000002E-2</v>
      </c>
      <c r="M22" s="38"/>
      <c r="N22" s="39">
        <f>O22+P22+Q22</f>
        <v>1.7090000000000001</v>
      </c>
      <c r="O22" s="37">
        <f>(E22+J22)/2</f>
        <v>1.1890000000000001</v>
      </c>
      <c r="P22" s="37">
        <f>(F22+K22)/2</f>
        <v>0.49</v>
      </c>
      <c r="Q22" s="37">
        <f t="shared" ref="Q22" si="10">(G22+L22)/2</f>
        <v>0.03</v>
      </c>
      <c r="R22" s="38"/>
      <c r="S22" s="24">
        <f t="shared" si="4"/>
        <v>1.7089999999999996</v>
      </c>
      <c r="T22" s="24">
        <f t="shared" si="3"/>
        <v>1.1890000000000001</v>
      </c>
      <c r="U22" s="24">
        <f t="shared" si="3"/>
        <v>0.49</v>
      </c>
      <c r="V22" s="24">
        <f t="shared" si="3"/>
        <v>0.03</v>
      </c>
      <c r="Y22" s="178"/>
      <c r="Z22" s="178"/>
      <c r="AA22" s="178"/>
      <c r="AB22" s="178"/>
    </row>
    <row r="23" spans="1:28" ht="15">
      <c r="A23" s="133"/>
      <c r="B23" s="125" t="s">
        <v>62</v>
      </c>
      <c r="C23" s="132" t="s">
        <v>1</v>
      </c>
      <c r="D23" s="158">
        <f>D22/D16*100</f>
        <v>2.0457558471886057</v>
      </c>
      <c r="E23" s="158">
        <f>E22/E16*100</f>
        <v>1.6834825983448587</v>
      </c>
      <c r="F23" s="158">
        <f>F22/F7*100</f>
        <v>0.91707693792837142</v>
      </c>
      <c r="G23" s="158">
        <f>G22/G7*100</f>
        <v>0.34044078122200311</v>
      </c>
      <c r="H23" s="114"/>
      <c r="I23" s="158">
        <f>I22/I16*100</f>
        <v>2.0572376607216922</v>
      </c>
      <c r="J23" s="158">
        <f>J22/J16*100</f>
        <v>1.6488388848861053</v>
      </c>
      <c r="K23" s="158">
        <f>K22/K7*100</f>
        <v>0.92215546993407971</v>
      </c>
      <c r="L23" s="158">
        <f>L22/L7*100</f>
        <v>0.78694817658349348</v>
      </c>
      <c r="M23" s="114"/>
      <c r="N23" s="158">
        <f>N22/N16*100</f>
        <v>2.0515713908429567</v>
      </c>
      <c r="O23" s="158">
        <f>O22/O16*100</f>
        <v>1.6659894351889475</v>
      </c>
      <c r="P23" s="158">
        <f>P22/P7*100</f>
        <v>0.91968693106101829</v>
      </c>
      <c r="Q23" s="158">
        <f>Q22/Q7*100</f>
        <v>0.55612197608675429</v>
      </c>
      <c r="R23" s="114"/>
      <c r="S23" s="24">
        <f t="shared" si="4"/>
        <v>2.0514967539551492</v>
      </c>
      <c r="T23" s="24">
        <f t="shared" si="3"/>
        <v>1.6661607416154822</v>
      </c>
      <c r="U23" s="24">
        <f t="shared" si="3"/>
        <v>0.91961620393122556</v>
      </c>
      <c r="V23" s="24">
        <f t="shared" si="3"/>
        <v>0.56369447890274837</v>
      </c>
      <c r="Y23" s="178"/>
      <c r="Z23" s="178"/>
      <c r="AA23" s="178"/>
      <c r="AB23" s="178"/>
    </row>
    <row r="24" spans="1:28" s="4" customFormat="1" ht="15">
      <c r="A24" s="128" t="s">
        <v>42</v>
      </c>
      <c r="B24" s="125" t="s">
        <v>43</v>
      </c>
      <c r="C24" s="132" t="s">
        <v>58</v>
      </c>
      <c r="D24" s="39"/>
      <c r="E24" s="37"/>
      <c r="F24" s="37"/>
      <c r="G24" s="37"/>
      <c r="H24" s="38"/>
      <c r="I24" s="39"/>
      <c r="J24" s="37"/>
      <c r="K24" s="37"/>
      <c r="L24" s="37"/>
      <c r="M24" s="38"/>
      <c r="N24" s="39"/>
      <c r="O24" s="37"/>
      <c r="P24" s="37"/>
      <c r="Q24" s="37"/>
      <c r="R24" s="38"/>
      <c r="S24" s="24">
        <f t="shared" si="4"/>
        <v>0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Y24" s="178"/>
      <c r="Z24" s="178"/>
      <c r="AA24" s="178"/>
      <c r="AB24" s="178"/>
    </row>
    <row r="25" spans="1:28" s="4" customFormat="1" ht="30">
      <c r="A25" s="128" t="s">
        <v>44</v>
      </c>
      <c r="B25" s="125" t="s">
        <v>45</v>
      </c>
      <c r="C25" s="132" t="s">
        <v>58</v>
      </c>
      <c r="D25" s="39"/>
      <c r="E25" s="37"/>
      <c r="F25" s="37"/>
      <c r="G25" s="37"/>
      <c r="H25" s="38"/>
      <c r="I25" s="39"/>
      <c r="J25" s="37"/>
      <c r="K25" s="37"/>
      <c r="L25" s="37"/>
      <c r="M25" s="38"/>
      <c r="N25" s="39"/>
      <c r="O25" s="37"/>
      <c r="P25" s="37"/>
      <c r="Q25" s="37"/>
      <c r="R25" s="38"/>
      <c r="S25" s="24">
        <f t="shared" si="4"/>
        <v>0</v>
      </c>
      <c r="T25" s="24">
        <f t="shared" si="3"/>
        <v>0</v>
      </c>
      <c r="U25" s="24">
        <f t="shared" si="3"/>
        <v>0</v>
      </c>
      <c r="V25" s="24">
        <f t="shared" si="3"/>
        <v>0</v>
      </c>
      <c r="Y25" s="178"/>
      <c r="Z25" s="178"/>
      <c r="AA25" s="178"/>
      <c r="AB25" s="178"/>
    </row>
    <row r="26" spans="1:28" s="4" customFormat="1" ht="15">
      <c r="A26" s="128" t="s">
        <v>46</v>
      </c>
      <c r="B26" s="125" t="s">
        <v>47</v>
      </c>
      <c r="C26" s="132" t="s">
        <v>58</v>
      </c>
      <c r="D26" s="39">
        <f>E26+F26+G26</f>
        <v>1.6819999999999997</v>
      </c>
      <c r="E26" s="37">
        <f>SUM(E27:E28)</f>
        <v>1.1879999999999999</v>
      </c>
      <c r="F26" s="37">
        <f t="shared" ref="F26:G26" si="11">F22</f>
        <v>0.47499999999999998</v>
      </c>
      <c r="G26" s="37">
        <f t="shared" si="11"/>
        <v>1.9E-2</v>
      </c>
      <c r="H26" s="38"/>
      <c r="I26" s="39">
        <f>J26+K26+L26</f>
        <v>1.7359999999999998</v>
      </c>
      <c r="J26" s="37">
        <f>SUM(J27:J28)</f>
        <v>1.19</v>
      </c>
      <c r="K26" s="37">
        <f t="shared" ref="K26:L26" si="12">K22</f>
        <v>0.505</v>
      </c>
      <c r="L26" s="37">
        <f t="shared" si="12"/>
        <v>4.1000000000000002E-2</v>
      </c>
      <c r="M26" s="38"/>
      <c r="N26" s="39">
        <f>N22</f>
        <v>1.7090000000000001</v>
      </c>
      <c r="O26" s="37">
        <f>SUM(O27:O28)</f>
        <v>1.1890000000000001</v>
      </c>
      <c r="P26" s="37">
        <f t="shared" ref="P26:Q26" si="13">P22</f>
        <v>0.49</v>
      </c>
      <c r="Q26" s="37">
        <f t="shared" si="13"/>
        <v>0.03</v>
      </c>
      <c r="R26" s="38"/>
      <c r="S26" s="24">
        <f t="shared" si="4"/>
        <v>1.7089999999999996</v>
      </c>
      <c r="T26" s="24">
        <f t="shared" si="3"/>
        <v>1.1890000000000001</v>
      </c>
      <c r="U26" s="24">
        <f t="shared" si="3"/>
        <v>0.49</v>
      </c>
      <c r="V26" s="24">
        <f t="shared" si="3"/>
        <v>0.03</v>
      </c>
      <c r="Y26" s="178"/>
      <c r="Z26" s="178"/>
      <c r="AA26" s="178"/>
      <c r="AB26" s="178"/>
    </row>
    <row r="27" spans="1:28" s="4" customFormat="1" ht="30">
      <c r="A27" s="128" t="s">
        <v>48</v>
      </c>
      <c r="B27" s="125" t="s">
        <v>231</v>
      </c>
      <c r="C27" s="132" t="s">
        <v>58</v>
      </c>
      <c r="D27" s="39">
        <f>E27+F27+G27</f>
        <v>1.6809999999999998</v>
      </c>
      <c r="E27" s="37">
        <v>1.1870000000000001</v>
      </c>
      <c r="F27" s="37">
        <f t="shared" ref="F27:G27" si="14">F26</f>
        <v>0.47499999999999998</v>
      </c>
      <c r="G27" s="37">
        <f t="shared" si="14"/>
        <v>1.9E-2</v>
      </c>
      <c r="H27" s="38"/>
      <c r="I27" s="39">
        <f>J27+K27+L27</f>
        <v>1.7349999999999999</v>
      </c>
      <c r="J27" s="37">
        <v>1.1890000000000001</v>
      </c>
      <c r="K27" s="37">
        <f t="shared" ref="K27:L27" si="15">K26</f>
        <v>0.505</v>
      </c>
      <c r="L27" s="37">
        <f t="shared" si="15"/>
        <v>4.1000000000000002E-2</v>
      </c>
      <c r="M27" s="38"/>
      <c r="N27" s="39">
        <f>SUM(O27:Q27)</f>
        <v>1.7080000000000002</v>
      </c>
      <c r="O27" s="37">
        <f>(E27+J27)/2</f>
        <v>1.1880000000000002</v>
      </c>
      <c r="P27" s="37">
        <f t="shared" ref="P27:Q27" si="16">P26</f>
        <v>0.49</v>
      </c>
      <c r="Q27" s="37">
        <f t="shared" si="16"/>
        <v>0.03</v>
      </c>
      <c r="R27" s="38"/>
      <c r="S27" s="24">
        <f t="shared" si="4"/>
        <v>1.708</v>
      </c>
      <c r="T27" s="24">
        <f t="shared" si="3"/>
        <v>1.1879999999999999</v>
      </c>
      <c r="U27" s="24">
        <f t="shared" si="3"/>
        <v>0.49</v>
      </c>
      <c r="V27" s="24">
        <f t="shared" si="3"/>
        <v>0.03</v>
      </c>
      <c r="Y27" s="178"/>
      <c r="Z27" s="178"/>
      <c r="AA27" s="178"/>
      <c r="AB27" s="178"/>
    </row>
    <row r="28" spans="1:28" s="4" customFormat="1" ht="30">
      <c r="A28" s="128" t="s">
        <v>277</v>
      </c>
      <c r="B28" s="125" t="s">
        <v>278</v>
      </c>
      <c r="C28" s="132"/>
      <c r="D28" s="39">
        <f>E28+F28+G28</f>
        <v>1E-3</v>
      </c>
      <c r="E28" s="37">
        <v>1E-3</v>
      </c>
      <c r="F28" s="37"/>
      <c r="G28" s="37"/>
      <c r="H28" s="38"/>
      <c r="I28" s="39">
        <f>J28+K28+L28</f>
        <v>1E-3</v>
      </c>
      <c r="J28" s="37">
        <v>1E-3</v>
      </c>
      <c r="K28" s="37"/>
      <c r="L28" s="37"/>
      <c r="M28" s="38"/>
      <c r="N28" s="39">
        <f>SUM(O28:Q28)</f>
        <v>1E-3</v>
      </c>
      <c r="O28" s="37">
        <v>1E-3</v>
      </c>
      <c r="P28" s="37"/>
      <c r="Q28" s="37"/>
      <c r="R28" s="38"/>
      <c r="S28" s="24"/>
      <c r="T28" s="24"/>
      <c r="U28" s="24"/>
      <c r="V28" s="24"/>
      <c r="Y28" s="178"/>
      <c r="Z28" s="178"/>
      <c r="AA28" s="178"/>
      <c r="AB28" s="178"/>
    </row>
    <row r="29" spans="1:28" ht="15" customHeight="1">
      <c r="A29" s="133" t="s">
        <v>21</v>
      </c>
      <c r="B29" s="135" t="s">
        <v>63</v>
      </c>
      <c r="C29" s="132" t="s">
        <v>58</v>
      </c>
      <c r="D29" s="39">
        <f>E29+F29+G29</f>
        <v>0.13300000000000001</v>
      </c>
      <c r="E29" s="37">
        <v>7.5999999999999998E-2</v>
      </c>
      <c r="F29" s="37"/>
      <c r="G29" s="37">
        <v>5.7000000000000002E-2</v>
      </c>
      <c r="H29" s="38"/>
      <c r="I29" s="39">
        <f>J29+K29+L29</f>
        <v>0.11</v>
      </c>
      <c r="J29" s="37">
        <v>5.2999999999999999E-2</v>
      </c>
      <c r="K29" s="37"/>
      <c r="L29" s="37">
        <v>5.7000000000000002E-2</v>
      </c>
      <c r="M29" s="38"/>
      <c r="N29" s="39">
        <f>O29+P29+Q29</f>
        <v>0.1205</v>
      </c>
      <c r="O29" s="37">
        <f>(E29+J29)/2-0.001</f>
        <v>6.3500000000000001E-2</v>
      </c>
      <c r="P29" s="37"/>
      <c r="Q29" s="37">
        <f t="shared" ref="Q29" si="17">(G29+L29)/2</f>
        <v>5.7000000000000002E-2</v>
      </c>
      <c r="R29" s="38"/>
      <c r="S29" s="24">
        <f t="shared" si="4"/>
        <v>0.12150000000000001</v>
      </c>
      <c r="T29" s="24">
        <f t="shared" ref="T29:T36" si="18">(E29*6+J29*6)/12</f>
        <v>6.4500000000000002E-2</v>
      </c>
      <c r="U29" s="24">
        <f t="shared" ref="U29:U36" si="19">(F29*6+K29*6)/12</f>
        <v>0</v>
      </c>
      <c r="V29" s="24">
        <f t="shared" ref="V29:V36" si="20">(G29*6+L29*6)/12</f>
        <v>5.7000000000000002E-2</v>
      </c>
      <c r="Y29" s="178"/>
      <c r="Z29" s="178"/>
      <c r="AA29" s="178"/>
      <c r="AB29" s="178"/>
    </row>
    <row r="30" spans="1:28" ht="15">
      <c r="A30" s="133" t="s">
        <v>22</v>
      </c>
      <c r="B30" s="125" t="s">
        <v>64</v>
      </c>
      <c r="C30" s="132" t="s">
        <v>58</v>
      </c>
      <c r="D30" s="39">
        <f t="shared" ref="D30:D36" si="21">E30+F30+G30</f>
        <v>80.403999999999996</v>
      </c>
      <c r="E30" s="113">
        <f>E33+E36</f>
        <v>28.737000000000002</v>
      </c>
      <c r="F30" s="113">
        <f>F33+F36</f>
        <v>46.161999999999999</v>
      </c>
      <c r="G30" s="113">
        <f t="shared" ref="G30" si="22">G33+G36</f>
        <v>5.5049999999999999</v>
      </c>
      <c r="H30" s="114"/>
      <c r="I30" s="39">
        <f t="shared" ref="I30:I31" si="23">J30+K30+L30</f>
        <v>82.538999999999987</v>
      </c>
      <c r="J30" s="113">
        <f>J33+J36</f>
        <v>27.901</v>
      </c>
      <c r="K30" s="113">
        <f t="shared" ref="K30:L30" si="24">K33+K36</f>
        <v>49.525999999999996</v>
      </c>
      <c r="L30" s="113">
        <f t="shared" si="24"/>
        <v>5.1120000000000001</v>
      </c>
      <c r="M30" s="114"/>
      <c r="N30" s="39">
        <f>O30+P30+Q30</f>
        <v>81.471499999999992</v>
      </c>
      <c r="O30" s="113">
        <f>O33+O36</f>
        <v>28.318999999999999</v>
      </c>
      <c r="P30" s="113">
        <f>P33+P36+0.001</f>
        <v>47.844999999999992</v>
      </c>
      <c r="Q30" s="113">
        <f>Q33+Q36</f>
        <v>5.3075000000000001</v>
      </c>
      <c r="R30" s="114"/>
      <c r="S30" s="24">
        <f t="shared" si="4"/>
        <v>81.471499999999992</v>
      </c>
      <c r="T30" s="24">
        <f t="shared" si="18"/>
        <v>28.319000000000003</v>
      </c>
      <c r="U30" s="24">
        <f t="shared" si="19"/>
        <v>47.843999999999994</v>
      </c>
      <c r="V30" s="24">
        <f t="shared" si="20"/>
        <v>5.3084999999999996</v>
      </c>
      <c r="Y30" s="178"/>
      <c r="Z30" s="178"/>
      <c r="AA30" s="178"/>
      <c r="AB30" s="178"/>
    </row>
    <row r="31" spans="1:28" ht="15">
      <c r="A31" s="133" t="s">
        <v>10</v>
      </c>
      <c r="B31" s="125" t="s">
        <v>51</v>
      </c>
      <c r="C31" s="132" t="s">
        <v>58</v>
      </c>
      <c r="D31" s="39">
        <f t="shared" si="21"/>
        <v>80.403999999999996</v>
      </c>
      <c r="E31" s="113">
        <f>'П1.6'!I41</f>
        <v>28.736999999999998</v>
      </c>
      <c r="F31" s="113">
        <f>'П1.6'!J41</f>
        <v>46.161999999999999</v>
      </c>
      <c r="G31" s="113">
        <f>'П1.6'!K41</f>
        <v>5.5049999999999999</v>
      </c>
      <c r="H31" s="113"/>
      <c r="I31" s="39">
        <f t="shared" si="23"/>
        <v>82.539000000000001</v>
      </c>
      <c r="J31" s="113">
        <f>'П1.6'!I80</f>
        <v>27.901</v>
      </c>
      <c r="K31" s="113">
        <f>'П1.6'!J80</f>
        <v>49.526000000000003</v>
      </c>
      <c r="L31" s="113">
        <f>'П1.6'!K80</f>
        <v>5.1119999999999992</v>
      </c>
      <c r="M31" s="113"/>
      <c r="N31" s="39">
        <f>O31+P31+Q31</f>
        <v>81.471999999999994</v>
      </c>
      <c r="O31" s="113">
        <f>'П1.6'!I118</f>
        <v>28.318999999999996</v>
      </c>
      <c r="P31" s="113">
        <f>'П1.6'!J118</f>
        <v>47.844999999999999</v>
      </c>
      <c r="Q31" s="113">
        <f>'П1.6'!K118</f>
        <v>5.3080000000000007</v>
      </c>
      <c r="R31" s="113"/>
      <c r="S31" s="24">
        <f t="shared" si="4"/>
        <v>81.471500000000006</v>
      </c>
      <c r="T31" s="24">
        <f t="shared" si="18"/>
        <v>28.318999999999999</v>
      </c>
      <c r="U31" s="24">
        <f t="shared" si="19"/>
        <v>47.843999999999994</v>
      </c>
      <c r="V31" s="24">
        <f t="shared" si="20"/>
        <v>5.3084999999999996</v>
      </c>
      <c r="Y31" s="178"/>
      <c r="Z31" s="178"/>
      <c r="AA31" s="178"/>
      <c r="AB31" s="178"/>
    </row>
    <row r="32" spans="1:28" ht="15">
      <c r="A32" s="133"/>
      <c r="B32" s="125" t="s">
        <v>52</v>
      </c>
      <c r="C32" s="132" t="s">
        <v>58</v>
      </c>
      <c r="D32" s="34"/>
      <c r="E32" s="35"/>
      <c r="F32" s="35"/>
      <c r="G32" s="35"/>
      <c r="H32" s="36"/>
      <c r="I32" s="34"/>
      <c r="J32" s="35"/>
      <c r="K32" s="35"/>
      <c r="L32" s="35"/>
      <c r="M32" s="36"/>
      <c r="N32" s="34"/>
      <c r="O32" s="35"/>
      <c r="P32" s="35"/>
      <c r="Q32" s="35"/>
      <c r="R32" s="36"/>
      <c r="S32" s="24">
        <f t="shared" si="4"/>
        <v>0</v>
      </c>
      <c r="T32" s="24">
        <f t="shared" si="18"/>
        <v>0</v>
      </c>
      <c r="U32" s="24">
        <f t="shared" si="19"/>
        <v>0</v>
      </c>
      <c r="V32" s="24">
        <f t="shared" si="20"/>
        <v>0</v>
      </c>
      <c r="Y32" s="178"/>
      <c r="Z32" s="178"/>
      <c r="AA32" s="178"/>
      <c r="AB32" s="178"/>
    </row>
    <row r="33" spans="1:28" ht="15.75" customHeight="1">
      <c r="A33" s="133"/>
      <c r="B33" s="125" t="s">
        <v>65</v>
      </c>
      <c r="C33" s="132" t="s">
        <v>58</v>
      </c>
      <c r="D33" s="39">
        <f>E33+F33+G33</f>
        <v>70.007999999999996</v>
      </c>
      <c r="E33" s="37">
        <v>26.832000000000001</v>
      </c>
      <c r="F33" s="37">
        <v>37.731999999999999</v>
      </c>
      <c r="G33" s="37">
        <v>5.444</v>
      </c>
      <c r="H33" s="38"/>
      <c r="I33" s="39">
        <f t="shared" ref="I33" si="25">J33+K33+L33</f>
        <v>72.155999999999992</v>
      </c>
      <c r="J33" s="37">
        <v>25.748000000000001</v>
      </c>
      <c r="K33" s="37">
        <v>41.348999999999997</v>
      </c>
      <c r="L33" s="37">
        <v>5.0590000000000002</v>
      </c>
      <c r="M33" s="38"/>
      <c r="N33" s="39">
        <f>O33+P33+Q33+0.001</f>
        <v>71.082000000000008</v>
      </c>
      <c r="O33" s="37">
        <f t="shared" ref="O33" si="26">(E33+J33)/2</f>
        <v>26.29</v>
      </c>
      <c r="P33" s="37">
        <f>(F33+K33)/2</f>
        <v>39.540499999999994</v>
      </c>
      <c r="Q33" s="37">
        <f>(G33+L33)/2-0.001</f>
        <v>5.2504999999999997</v>
      </c>
      <c r="R33" s="38"/>
      <c r="S33" s="24">
        <f t="shared" si="4"/>
        <v>71.081999999999994</v>
      </c>
      <c r="T33" s="24">
        <f t="shared" si="18"/>
        <v>26.290000000000003</v>
      </c>
      <c r="U33" s="24">
        <f t="shared" si="19"/>
        <v>39.540500000000002</v>
      </c>
      <c r="V33" s="24">
        <f t="shared" si="20"/>
        <v>5.2515000000000001</v>
      </c>
      <c r="Y33" s="178"/>
      <c r="Z33" s="178"/>
      <c r="AA33" s="178"/>
      <c r="AB33" s="178"/>
    </row>
    <row r="34" spans="1:28" ht="30">
      <c r="A34" s="133"/>
      <c r="B34" s="125" t="s">
        <v>66</v>
      </c>
      <c r="C34" s="132" t="s">
        <v>58</v>
      </c>
      <c r="D34" s="39"/>
      <c r="E34" s="37"/>
      <c r="F34" s="37"/>
      <c r="G34" s="37"/>
      <c r="H34" s="38"/>
      <c r="I34" s="39"/>
      <c r="J34" s="37"/>
      <c r="K34" s="37"/>
      <c r="L34" s="37"/>
      <c r="M34" s="38"/>
      <c r="N34" s="39"/>
      <c r="O34" s="37"/>
      <c r="P34" s="37"/>
      <c r="Q34" s="37"/>
      <c r="R34" s="38"/>
      <c r="S34" s="24">
        <f t="shared" si="4"/>
        <v>0</v>
      </c>
      <c r="T34" s="24">
        <f t="shared" si="18"/>
        <v>0</v>
      </c>
      <c r="U34" s="24">
        <f t="shared" si="19"/>
        <v>0</v>
      </c>
      <c r="V34" s="24">
        <f t="shared" si="20"/>
        <v>0</v>
      </c>
      <c r="Y34" s="178"/>
      <c r="Z34" s="178"/>
      <c r="AA34" s="178"/>
      <c r="AB34" s="178"/>
    </row>
    <row r="35" spans="1:28" ht="17.25" customHeight="1">
      <c r="A35" s="133"/>
      <c r="B35" s="125" t="s">
        <v>67</v>
      </c>
      <c r="C35" s="132" t="s">
        <v>58</v>
      </c>
      <c r="D35" s="39"/>
      <c r="E35" s="37"/>
      <c r="F35" s="37"/>
      <c r="G35" s="37"/>
      <c r="H35" s="38"/>
      <c r="I35" s="39"/>
      <c r="J35" s="37"/>
      <c r="K35" s="37"/>
      <c r="L35" s="37"/>
      <c r="M35" s="38"/>
      <c r="N35" s="39"/>
      <c r="O35" s="37"/>
      <c r="P35" s="37"/>
      <c r="Q35" s="37"/>
      <c r="R35" s="38"/>
      <c r="S35" s="24">
        <f t="shared" si="4"/>
        <v>0</v>
      </c>
      <c r="T35" s="24">
        <f t="shared" si="18"/>
        <v>0</v>
      </c>
      <c r="U35" s="24">
        <f t="shared" si="19"/>
        <v>0</v>
      </c>
      <c r="V35" s="24">
        <f t="shared" si="20"/>
        <v>0</v>
      </c>
      <c r="Y35" s="178"/>
      <c r="Z35" s="178"/>
      <c r="AA35" s="178"/>
      <c r="AB35" s="178"/>
    </row>
    <row r="36" spans="1:28" ht="17.25" customHeight="1">
      <c r="A36" s="133" t="s">
        <v>11</v>
      </c>
      <c r="B36" s="125" t="s">
        <v>55</v>
      </c>
      <c r="C36" s="132" t="s">
        <v>58</v>
      </c>
      <c r="D36" s="39">
        <f t="shared" si="21"/>
        <v>10.395999999999999</v>
      </c>
      <c r="E36" s="37">
        <v>1.905</v>
      </c>
      <c r="F36" s="37">
        <v>8.43</v>
      </c>
      <c r="G36" s="37">
        <v>6.0999999999999999E-2</v>
      </c>
      <c r="H36" s="38"/>
      <c r="I36" s="39">
        <f t="shared" ref="I36" si="27">J36+K36+L36</f>
        <v>10.383000000000001</v>
      </c>
      <c r="J36" s="37">
        <v>2.153</v>
      </c>
      <c r="K36" s="37">
        <v>8.1769999999999996</v>
      </c>
      <c r="L36" s="37">
        <v>5.2999999999999999E-2</v>
      </c>
      <c r="M36" s="38"/>
      <c r="N36" s="39">
        <f>O36+P36+Q36</f>
        <v>10.3895</v>
      </c>
      <c r="O36" s="37">
        <f t="shared" ref="O36:Q36" si="28">(E36+J36)/2</f>
        <v>2.0289999999999999</v>
      </c>
      <c r="P36" s="37">
        <f t="shared" si="28"/>
        <v>8.3034999999999997</v>
      </c>
      <c r="Q36" s="37">
        <f t="shared" si="28"/>
        <v>5.6999999999999995E-2</v>
      </c>
      <c r="R36" s="38"/>
      <c r="S36" s="24">
        <f t="shared" si="4"/>
        <v>10.3895</v>
      </c>
      <c r="T36" s="24">
        <f t="shared" si="18"/>
        <v>2.0289999999999999</v>
      </c>
      <c r="U36" s="24">
        <f t="shared" si="19"/>
        <v>8.3034999999999997</v>
      </c>
      <c r="V36" s="24">
        <f t="shared" si="20"/>
        <v>5.6999999999999995E-2</v>
      </c>
      <c r="Y36" s="178"/>
      <c r="Z36" s="178"/>
      <c r="AA36" s="178"/>
      <c r="AB36" s="178"/>
    </row>
    <row r="37" spans="1:28" ht="15">
      <c r="A37" s="133" t="s">
        <v>27</v>
      </c>
      <c r="B37" s="125" t="s">
        <v>56</v>
      </c>
      <c r="C37" s="132" t="s">
        <v>58</v>
      </c>
      <c r="D37" s="39"/>
      <c r="E37" s="37"/>
      <c r="F37" s="37"/>
      <c r="G37" s="37"/>
      <c r="H37" s="38"/>
      <c r="I37" s="39"/>
      <c r="J37" s="37"/>
      <c r="K37" s="37"/>
      <c r="L37" s="37"/>
      <c r="M37" s="38"/>
      <c r="N37" s="39"/>
      <c r="O37" s="37"/>
      <c r="P37" s="37"/>
      <c r="Q37" s="37"/>
      <c r="R37" s="38"/>
      <c r="Y37" s="178"/>
      <c r="Z37" s="178"/>
      <c r="AA37" s="178"/>
      <c r="AB37" s="178"/>
    </row>
    <row r="38" spans="1:28" ht="36" customHeight="1">
      <c r="A38" s="40"/>
      <c r="B38" s="173"/>
      <c r="C38" s="174"/>
      <c r="D38" s="175"/>
      <c r="E38" s="175"/>
      <c r="F38" s="175"/>
      <c r="G38" s="175"/>
      <c r="H38" s="176"/>
      <c r="I38" s="175"/>
      <c r="J38" s="175"/>
      <c r="K38" s="175"/>
      <c r="L38" s="175"/>
      <c r="M38" s="176"/>
      <c r="N38" s="175"/>
      <c r="O38" s="175"/>
      <c r="P38" s="175"/>
      <c r="Q38" s="175"/>
    </row>
    <row r="39" spans="1:28" ht="14.25">
      <c r="G39" s="177"/>
      <c r="H39" s="168"/>
      <c r="I39" s="168"/>
      <c r="J39" s="168"/>
      <c r="K39" s="168"/>
      <c r="L39" s="177"/>
      <c r="M39" s="168"/>
      <c r="N39" s="168"/>
      <c r="O39" s="168"/>
      <c r="P39" s="168"/>
      <c r="Q39" s="177"/>
    </row>
    <row r="40" spans="1:28"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2">
    <tabColor rgb="FFFF0000"/>
  </sheetPr>
  <dimension ref="A1:W123"/>
  <sheetViews>
    <sheetView view="pageBreakPreview" topLeftCell="A91" zoomScaleNormal="75" zoomScaleSheetLayoutView="100" workbookViewId="0">
      <selection activeCell="G128" sqref="G128"/>
    </sheetView>
  </sheetViews>
  <sheetFormatPr defaultColWidth="9.140625" defaultRowHeight="12.75"/>
  <cols>
    <col min="1" max="1" width="5.28515625" style="41" customWidth="1"/>
    <col min="2" max="2" width="46" style="22" customWidth="1"/>
    <col min="3" max="3" width="11" style="42" customWidth="1"/>
    <col min="4" max="4" width="11.140625" style="42" customWidth="1"/>
    <col min="5" max="5" width="12.5703125" style="42" customWidth="1"/>
    <col min="6" max="6" width="9.7109375" style="42" customWidth="1"/>
    <col min="7" max="7" width="5.28515625" style="42" customWidth="1"/>
    <col min="8" max="8" width="10.28515625" style="42" customWidth="1"/>
    <col min="9" max="9" width="7" style="42" customWidth="1"/>
    <col min="10" max="11" width="8" style="42" customWidth="1"/>
    <col min="12" max="12" width="4" style="42" customWidth="1"/>
    <col min="13" max="13" width="8.28515625" style="43" customWidth="1"/>
    <col min="14" max="14" width="5" style="22" customWidth="1"/>
    <col min="15" max="15" width="4.5703125" style="44" customWidth="1"/>
    <col min="16" max="17" width="4.42578125" style="44" customWidth="1"/>
    <col min="18" max="18" width="4.5703125" style="44" customWidth="1"/>
    <col min="19" max="22" width="4.28515625" style="22" customWidth="1"/>
    <col min="23" max="23" width="4.140625" style="22" customWidth="1"/>
    <col min="24" max="16384" width="9.140625" style="22"/>
  </cols>
  <sheetData>
    <row r="1" spans="1:23">
      <c r="K1" s="22"/>
      <c r="T1" s="42" t="s">
        <v>68</v>
      </c>
      <c r="W1" s="45"/>
    </row>
    <row r="3" spans="1:23" s="46" customFormat="1" ht="15.75">
      <c r="A3" s="204" t="s">
        <v>69</v>
      </c>
      <c r="B3" s="204"/>
      <c r="C3" s="204"/>
      <c r="D3" s="204"/>
      <c r="E3" s="204"/>
      <c r="F3" s="204"/>
      <c r="G3" s="204"/>
      <c r="H3" s="204"/>
      <c r="I3" s="205" t="str">
        <f>'П1.5'!B1</f>
        <v>ОАО "КузбассЭлектро"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5" spans="1:23" s="24" customFormat="1" ht="25.5" customHeight="1">
      <c r="A5" s="202" t="s">
        <v>70</v>
      </c>
      <c r="B5" s="202" t="s">
        <v>14</v>
      </c>
      <c r="C5" s="203" t="s">
        <v>71</v>
      </c>
      <c r="D5" s="203"/>
      <c r="E5" s="203"/>
      <c r="F5" s="203"/>
      <c r="G5" s="203"/>
      <c r="H5" s="206" t="s">
        <v>72</v>
      </c>
      <c r="I5" s="206"/>
      <c r="J5" s="206"/>
      <c r="K5" s="206"/>
      <c r="L5" s="206"/>
      <c r="M5" s="207" t="s">
        <v>73</v>
      </c>
      <c r="N5" s="208" t="s">
        <v>74</v>
      </c>
      <c r="O5" s="209"/>
      <c r="P5" s="209"/>
      <c r="Q5" s="209"/>
      <c r="R5" s="210"/>
      <c r="S5" s="211" t="s">
        <v>75</v>
      </c>
      <c r="T5" s="211"/>
      <c r="U5" s="211"/>
      <c r="V5" s="211"/>
      <c r="W5" s="211"/>
    </row>
    <row r="6" spans="1:23" s="24" customFormat="1" ht="18" customHeight="1">
      <c r="A6" s="202"/>
      <c r="B6" s="202"/>
      <c r="C6" s="47" t="s">
        <v>76</v>
      </c>
      <c r="D6" s="47" t="s">
        <v>6</v>
      </c>
      <c r="E6" s="47" t="s">
        <v>7</v>
      </c>
      <c r="F6" s="47" t="s">
        <v>77</v>
      </c>
      <c r="G6" s="47" t="s">
        <v>9</v>
      </c>
      <c r="H6" s="47" t="s">
        <v>76</v>
      </c>
      <c r="I6" s="47" t="s">
        <v>6</v>
      </c>
      <c r="J6" s="47" t="s">
        <v>7</v>
      </c>
      <c r="K6" s="47" t="s">
        <v>77</v>
      </c>
      <c r="L6" s="47" t="s">
        <v>9</v>
      </c>
      <c r="M6" s="207"/>
      <c r="N6" s="26" t="s">
        <v>76</v>
      </c>
      <c r="O6" s="48" t="s">
        <v>6</v>
      </c>
      <c r="P6" s="48" t="s">
        <v>7</v>
      </c>
      <c r="Q6" s="48" t="s">
        <v>77</v>
      </c>
      <c r="R6" s="48" t="s">
        <v>9</v>
      </c>
      <c r="S6" s="26" t="s">
        <v>76</v>
      </c>
      <c r="T6" s="26" t="s">
        <v>6</v>
      </c>
      <c r="U6" s="26" t="s">
        <v>7</v>
      </c>
      <c r="V6" s="26" t="s">
        <v>77</v>
      </c>
      <c r="W6" s="26" t="s">
        <v>9</v>
      </c>
    </row>
    <row r="7" spans="1:23" s="51" customFormat="1" ht="13.5" customHeight="1">
      <c r="A7" s="49">
        <v>1</v>
      </c>
      <c r="B7" s="50">
        <f t="shared" ref="B7:W7" si="0">+A7+1</f>
        <v>2</v>
      </c>
      <c r="C7" s="50">
        <f>+B7+1</f>
        <v>3</v>
      </c>
      <c r="D7" s="50">
        <f t="shared" si="0"/>
        <v>4</v>
      </c>
      <c r="E7" s="50">
        <f t="shared" si="0"/>
        <v>5</v>
      </c>
      <c r="F7" s="50">
        <f t="shared" si="0"/>
        <v>6</v>
      </c>
      <c r="G7" s="50">
        <f t="shared" si="0"/>
        <v>7</v>
      </c>
      <c r="H7" s="50">
        <f t="shared" si="0"/>
        <v>8</v>
      </c>
      <c r="I7" s="50">
        <f t="shared" si="0"/>
        <v>9</v>
      </c>
      <c r="J7" s="50">
        <f t="shared" si="0"/>
        <v>10</v>
      </c>
      <c r="K7" s="50">
        <f t="shared" si="0"/>
        <v>11</v>
      </c>
      <c r="L7" s="50">
        <f t="shared" si="0"/>
        <v>12</v>
      </c>
      <c r="M7" s="50">
        <f t="shared" si="0"/>
        <v>13</v>
      </c>
      <c r="N7" s="50">
        <f t="shared" si="0"/>
        <v>14</v>
      </c>
      <c r="O7" s="50">
        <f t="shared" si="0"/>
        <v>15</v>
      </c>
      <c r="P7" s="50">
        <f t="shared" si="0"/>
        <v>16</v>
      </c>
      <c r="Q7" s="50">
        <f t="shared" si="0"/>
        <v>17</v>
      </c>
      <c r="R7" s="50">
        <f t="shared" si="0"/>
        <v>18</v>
      </c>
      <c r="S7" s="50">
        <f t="shared" si="0"/>
        <v>19</v>
      </c>
      <c r="T7" s="50">
        <f t="shared" si="0"/>
        <v>20</v>
      </c>
      <c r="U7" s="50">
        <f t="shared" si="0"/>
        <v>21</v>
      </c>
      <c r="V7" s="50">
        <f t="shared" si="0"/>
        <v>22</v>
      </c>
      <c r="W7" s="50">
        <f t="shared" si="0"/>
        <v>23</v>
      </c>
    </row>
    <row r="8" spans="1:23" ht="15" customHeight="1">
      <c r="A8" s="199" t="str">
        <f>'П1.5'!D4</f>
        <v>Факт 1 полугодие 2022г.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1"/>
    </row>
    <row r="9" spans="1:23" s="24" customFormat="1">
      <c r="A9" s="136">
        <v>1</v>
      </c>
      <c r="B9" s="137" t="s">
        <v>16</v>
      </c>
      <c r="C9" s="57">
        <f>D9+F9+E9</f>
        <v>960.27499999999998</v>
      </c>
      <c r="D9" s="57">
        <f>D11+D12</f>
        <v>122.727</v>
      </c>
      <c r="E9" s="57">
        <f>SUM(E11:E13)</f>
        <v>0</v>
      </c>
      <c r="F9" s="57">
        <f>F11+F12+F13+F16</f>
        <v>837.548</v>
      </c>
      <c r="G9" s="57"/>
      <c r="H9" s="163">
        <f>SUM(I9:K9)</f>
        <v>0.26900000000000002</v>
      </c>
      <c r="I9" s="163">
        <f>I11+I12</f>
        <v>3.4000000000000002E-2</v>
      </c>
      <c r="J9" s="163">
        <f>SUM(J11:J14)</f>
        <v>0</v>
      </c>
      <c r="K9" s="163">
        <f>K12+K13+K16+K11</f>
        <v>0.23499999999999999</v>
      </c>
      <c r="L9" s="163"/>
      <c r="M9" s="115">
        <f>C9/H9</f>
        <v>3569.7955390334569</v>
      </c>
      <c r="N9" s="58"/>
      <c r="O9" s="116"/>
      <c r="P9" s="116"/>
      <c r="Q9" s="116"/>
      <c r="R9" s="116"/>
      <c r="S9" s="116"/>
      <c r="T9" s="116"/>
      <c r="U9" s="116"/>
      <c r="V9" s="116"/>
      <c r="W9" s="116"/>
    </row>
    <row r="10" spans="1:23">
      <c r="A10" s="138" t="s">
        <v>25</v>
      </c>
      <c r="B10" s="139" t="s">
        <v>17</v>
      </c>
      <c r="C10" s="57"/>
      <c r="D10" s="52"/>
      <c r="E10" s="52"/>
      <c r="F10" s="52"/>
      <c r="G10" s="52"/>
      <c r="H10" s="57"/>
      <c r="I10" s="52"/>
      <c r="J10" s="52"/>
      <c r="K10" s="52"/>
      <c r="L10" s="52"/>
      <c r="M10" s="115"/>
      <c r="N10" s="58"/>
      <c r="O10" s="53"/>
      <c r="P10" s="53"/>
      <c r="Q10" s="53"/>
      <c r="R10" s="53"/>
      <c r="S10" s="54"/>
      <c r="T10" s="55"/>
      <c r="U10" s="55"/>
      <c r="V10" s="55"/>
      <c r="W10" s="55"/>
    </row>
    <row r="11" spans="1:23" s="24" customFormat="1" ht="13.5" customHeight="1">
      <c r="A11" s="138" t="s">
        <v>78</v>
      </c>
      <c r="B11" s="139" t="s">
        <v>79</v>
      </c>
      <c r="C11" s="57">
        <f>D11+F11</f>
        <v>74.947999999999993</v>
      </c>
      <c r="D11" s="52"/>
      <c r="E11" s="52"/>
      <c r="F11" s="52">
        <v>74.947999999999993</v>
      </c>
      <c r="G11" s="52"/>
      <c r="H11" s="57">
        <f>I11+K11</f>
        <v>2.1000000000000001E-2</v>
      </c>
      <c r="I11" s="52"/>
      <c r="J11" s="52"/>
      <c r="K11" s="52">
        <v>2.1000000000000001E-2</v>
      </c>
      <c r="L11" s="52"/>
      <c r="M11" s="115">
        <f t="shared" ref="M11:M41" si="1">C11/H11</f>
        <v>3568.9523809523803</v>
      </c>
      <c r="N11" s="58"/>
      <c r="O11" s="53"/>
      <c r="P11" s="53"/>
      <c r="Q11" s="53"/>
      <c r="R11" s="53"/>
      <c r="S11" s="54"/>
      <c r="T11" s="55"/>
      <c r="U11" s="55"/>
      <c r="V11" s="55"/>
      <c r="W11" s="55"/>
    </row>
    <row r="12" spans="1:23" s="24" customFormat="1">
      <c r="A12" s="138" t="s">
        <v>80</v>
      </c>
      <c r="B12" s="139" t="s">
        <v>81</v>
      </c>
      <c r="C12" s="57">
        <f>D12+F12+E12</f>
        <v>873.20699999999999</v>
      </c>
      <c r="D12" s="52">
        <v>122.727</v>
      </c>
      <c r="E12" s="52"/>
      <c r="F12" s="52">
        <v>750.48</v>
      </c>
      <c r="G12" s="52"/>
      <c r="H12" s="57">
        <f>SUM(I12:K12)</f>
        <v>0.24399999999999999</v>
      </c>
      <c r="I12" s="52">
        <v>3.4000000000000002E-2</v>
      </c>
      <c r="J12" s="52"/>
      <c r="K12" s="52">
        <v>0.21</v>
      </c>
      <c r="L12" s="52"/>
      <c r="M12" s="115">
        <f t="shared" si="1"/>
        <v>3578.717213114754</v>
      </c>
      <c r="N12" s="58"/>
      <c r="O12" s="53"/>
      <c r="P12" s="53"/>
      <c r="Q12" s="53"/>
      <c r="R12" s="53"/>
      <c r="S12" s="54"/>
      <c r="T12" s="55"/>
      <c r="U12" s="55"/>
      <c r="V12" s="55"/>
      <c r="W12" s="55"/>
    </row>
    <row r="13" spans="1:23" s="24" customFormat="1">
      <c r="A13" s="138" t="s">
        <v>82</v>
      </c>
      <c r="B13" s="139" t="s">
        <v>83</v>
      </c>
      <c r="C13" s="57">
        <f>SUM(D13:F13)</f>
        <v>0</v>
      </c>
      <c r="D13" s="52"/>
      <c r="E13" s="52"/>
      <c r="F13" s="52"/>
      <c r="G13" s="52"/>
      <c r="H13" s="57">
        <f>SUM(I13:K13)</f>
        <v>0</v>
      </c>
      <c r="I13" s="52"/>
      <c r="J13" s="52"/>
      <c r="K13" s="52"/>
      <c r="L13" s="52"/>
      <c r="M13" s="115"/>
      <c r="N13" s="58"/>
      <c r="O13" s="53"/>
      <c r="P13" s="53"/>
      <c r="Q13" s="53"/>
      <c r="R13" s="53"/>
      <c r="S13" s="54"/>
      <c r="T13" s="55"/>
      <c r="U13" s="55"/>
      <c r="V13" s="55"/>
      <c r="W13" s="55"/>
    </row>
    <row r="14" spans="1:23" s="24" customFormat="1">
      <c r="A14" s="138" t="s">
        <v>26</v>
      </c>
      <c r="B14" s="139" t="s">
        <v>18</v>
      </c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115"/>
      <c r="N14" s="58"/>
      <c r="O14" s="53"/>
      <c r="P14" s="53"/>
      <c r="Q14" s="53"/>
      <c r="R14" s="53"/>
      <c r="S14" s="54"/>
      <c r="T14" s="55"/>
      <c r="U14" s="55"/>
      <c r="V14" s="55"/>
      <c r="W14" s="55"/>
    </row>
    <row r="15" spans="1:23" s="24" customFormat="1">
      <c r="A15" s="138" t="s">
        <v>84</v>
      </c>
      <c r="B15" s="139" t="s">
        <v>79</v>
      </c>
      <c r="C15" s="57"/>
      <c r="D15" s="52"/>
      <c r="E15" s="52"/>
      <c r="F15" s="52"/>
      <c r="G15" s="52"/>
      <c r="H15" s="57"/>
      <c r="I15" s="52"/>
      <c r="J15" s="52"/>
      <c r="K15" s="52"/>
      <c r="L15" s="52"/>
      <c r="M15" s="115"/>
      <c r="N15" s="58"/>
      <c r="O15" s="53"/>
      <c r="P15" s="53"/>
      <c r="Q15" s="53"/>
      <c r="R15" s="53"/>
      <c r="S15" s="54"/>
      <c r="T15" s="55"/>
      <c r="U15" s="55"/>
      <c r="V15" s="55"/>
      <c r="W15" s="55"/>
    </row>
    <row r="16" spans="1:23" s="24" customFormat="1">
      <c r="A16" s="138" t="s">
        <v>85</v>
      </c>
      <c r="B16" s="139" t="s">
        <v>86</v>
      </c>
      <c r="C16" s="57">
        <f>D16+F16</f>
        <v>12.12</v>
      </c>
      <c r="D16" s="52"/>
      <c r="E16" s="52"/>
      <c r="F16" s="52">
        <v>12.12</v>
      </c>
      <c r="G16" s="52"/>
      <c r="H16" s="57">
        <f>I16+K16</f>
        <v>4.0000000000000001E-3</v>
      </c>
      <c r="I16" s="52"/>
      <c r="J16" s="52"/>
      <c r="K16" s="52">
        <v>4.0000000000000001E-3</v>
      </c>
      <c r="L16" s="52"/>
      <c r="M16" s="115">
        <f t="shared" si="1"/>
        <v>3029.9999999999995</v>
      </c>
      <c r="N16" s="58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s="24" customFormat="1">
      <c r="A17" s="136" t="s">
        <v>19</v>
      </c>
      <c r="B17" s="140" t="s">
        <v>20</v>
      </c>
      <c r="C17" s="57">
        <f>C22+C26</f>
        <v>262641.11300000001</v>
      </c>
      <c r="D17" s="57">
        <f>D22+D26</f>
        <v>100038.80099999999</v>
      </c>
      <c r="E17" s="57">
        <f>E22+E26</f>
        <v>144484.81900000002</v>
      </c>
      <c r="F17" s="57">
        <f>F22+F26</f>
        <v>18117.492999999999</v>
      </c>
      <c r="G17" s="57"/>
      <c r="H17" s="57">
        <f t="shared" ref="H17" si="2">I17+J17+K17</f>
        <v>69.739000000000004</v>
      </c>
      <c r="I17" s="57">
        <f>I22+I26</f>
        <v>26.797999999999998</v>
      </c>
      <c r="J17" s="57">
        <f>J22+J26</f>
        <v>37.731999999999999</v>
      </c>
      <c r="K17" s="57">
        <f>K22+K26</f>
        <v>5.2089999999999996</v>
      </c>
      <c r="L17" s="57"/>
      <c r="M17" s="115">
        <f t="shared" si="1"/>
        <v>3766.057915943733</v>
      </c>
      <c r="N17" s="58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3" s="24" customFormat="1">
      <c r="A18" s="138" t="s">
        <v>42</v>
      </c>
      <c r="B18" s="56" t="s">
        <v>87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15"/>
      <c r="N18" s="58"/>
      <c r="O18" s="116"/>
      <c r="P18" s="116"/>
      <c r="Q18" s="116"/>
      <c r="R18" s="116"/>
      <c r="S18" s="116"/>
      <c r="T18" s="116"/>
      <c r="U18" s="116"/>
      <c r="V18" s="116"/>
      <c r="W18" s="116"/>
    </row>
    <row r="19" spans="1:23">
      <c r="A19" s="141"/>
      <c r="B19" s="56" t="s">
        <v>88</v>
      </c>
      <c r="C19" s="57"/>
      <c r="D19" s="52"/>
      <c r="E19" s="52"/>
      <c r="F19" s="52"/>
      <c r="G19" s="52"/>
      <c r="H19" s="57"/>
      <c r="I19" s="52"/>
      <c r="J19" s="52"/>
      <c r="K19" s="52"/>
      <c r="L19" s="52"/>
      <c r="M19" s="115"/>
      <c r="N19" s="58"/>
      <c r="O19" s="53"/>
      <c r="P19" s="53"/>
      <c r="Q19" s="53"/>
      <c r="R19" s="53"/>
      <c r="S19" s="59"/>
      <c r="T19" s="55"/>
      <c r="U19" s="55"/>
      <c r="V19" s="55"/>
      <c r="W19" s="55"/>
    </row>
    <row r="20" spans="1:23">
      <c r="A20" s="141"/>
      <c r="B20" s="56" t="s">
        <v>89</v>
      </c>
      <c r="C20" s="57"/>
      <c r="D20" s="52"/>
      <c r="E20" s="52"/>
      <c r="F20" s="52"/>
      <c r="G20" s="52"/>
      <c r="H20" s="57"/>
      <c r="I20" s="52"/>
      <c r="J20" s="52"/>
      <c r="K20" s="52"/>
      <c r="L20" s="52"/>
      <c r="M20" s="115"/>
      <c r="N20" s="58"/>
      <c r="O20" s="53"/>
      <c r="P20" s="53"/>
      <c r="Q20" s="53"/>
      <c r="R20" s="53"/>
      <c r="S20" s="59"/>
      <c r="T20" s="55"/>
      <c r="U20" s="55"/>
      <c r="V20" s="55"/>
      <c r="W20" s="55"/>
    </row>
    <row r="21" spans="1:23">
      <c r="A21" s="138"/>
      <c r="B21" s="56" t="s">
        <v>90</v>
      </c>
      <c r="C21" s="57"/>
      <c r="D21" s="52"/>
      <c r="E21" s="52"/>
      <c r="F21" s="52"/>
      <c r="G21" s="52"/>
      <c r="H21" s="57"/>
      <c r="I21" s="52"/>
      <c r="J21" s="52"/>
      <c r="K21" s="52"/>
      <c r="L21" s="52"/>
      <c r="M21" s="115"/>
      <c r="N21" s="58"/>
      <c r="O21" s="53"/>
      <c r="P21" s="53"/>
      <c r="Q21" s="53"/>
      <c r="R21" s="53"/>
      <c r="S21" s="59"/>
      <c r="T21" s="55"/>
      <c r="U21" s="55"/>
      <c r="V21" s="55"/>
      <c r="W21" s="55"/>
    </row>
    <row r="22" spans="1:23" s="24" customFormat="1">
      <c r="A22" s="138" t="s">
        <v>46</v>
      </c>
      <c r="B22" s="142" t="s">
        <v>91</v>
      </c>
      <c r="C22" s="57">
        <f t="shared" ref="C22:C24" si="3">D22+E22+F22</f>
        <v>38263.960000000006</v>
      </c>
      <c r="D22" s="57">
        <f>SUM(D23:D25)</f>
        <v>9452.0360000000019</v>
      </c>
      <c r="E22" s="57">
        <f>SUM(E23:E25)</f>
        <v>23816.694000000003</v>
      </c>
      <c r="F22" s="57">
        <f>SUM(F23:F25)</f>
        <v>4995.2299999999996</v>
      </c>
      <c r="G22" s="57"/>
      <c r="H22" s="57">
        <f t="shared" ref="H22:H40" si="4">I22+J22+K22</f>
        <v>13.015000000000001</v>
      </c>
      <c r="I22" s="57">
        <f>SUM(I23:I25)</f>
        <v>3.3839999999999999</v>
      </c>
      <c r="J22" s="57">
        <f>SUM(J23:J25)</f>
        <v>7.9619999999999997</v>
      </c>
      <c r="K22" s="57">
        <f>SUM(K23:K25)</f>
        <v>1.669</v>
      </c>
      <c r="L22" s="57"/>
      <c r="M22" s="115">
        <f t="shared" si="1"/>
        <v>2939.9892431809453</v>
      </c>
      <c r="N22" s="58"/>
      <c r="O22" s="116"/>
      <c r="P22" s="116"/>
      <c r="Q22" s="116"/>
      <c r="R22" s="116"/>
      <c r="S22" s="116"/>
      <c r="T22" s="116"/>
      <c r="U22" s="116"/>
      <c r="V22" s="116"/>
      <c r="W22" s="116"/>
    </row>
    <row r="23" spans="1:23">
      <c r="A23" s="138"/>
      <c r="B23" s="143" t="s">
        <v>272</v>
      </c>
      <c r="C23" s="57">
        <f t="shared" si="3"/>
        <v>10942.333999999999</v>
      </c>
      <c r="D23" s="60">
        <v>4138.4750000000004</v>
      </c>
      <c r="E23" s="60">
        <v>1816.704</v>
      </c>
      <c r="F23" s="60">
        <v>4987.1549999999997</v>
      </c>
      <c r="G23" s="52"/>
      <c r="H23" s="57">
        <f t="shared" si="4"/>
        <v>4.22</v>
      </c>
      <c r="I23" s="60">
        <v>1.9239999999999999</v>
      </c>
      <c r="J23" s="60">
        <v>0.629</v>
      </c>
      <c r="K23" s="60">
        <v>1.667</v>
      </c>
      <c r="L23" s="52"/>
      <c r="M23" s="115">
        <f t="shared" si="1"/>
        <v>2592.9701421800946</v>
      </c>
      <c r="N23" s="58"/>
      <c r="O23" s="61"/>
      <c r="P23" s="61"/>
      <c r="Q23" s="61"/>
      <c r="R23" s="61"/>
      <c r="S23" s="59"/>
      <c r="T23" s="55"/>
      <c r="U23" s="55"/>
      <c r="V23" s="55"/>
      <c r="W23" s="55"/>
    </row>
    <row r="24" spans="1:23">
      <c r="A24" s="138"/>
      <c r="B24" s="222" t="s">
        <v>234</v>
      </c>
      <c r="C24" s="57">
        <f t="shared" si="3"/>
        <v>5197.6760000000004</v>
      </c>
      <c r="D24" s="60">
        <v>5197.6760000000004</v>
      </c>
      <c r="E24" s="60"/>
      <c r="F24" s="60"/>
      <c r="G24" s="52"/>
      <c r="H24" s="57">
        <f t="shared" si="4"/>
        <v>1.4219999999999999</v>
      </c>
      <c r="I24" s="60">
        <v>1.4219999999999999</v>
      </c>
      <c r="J24" s="60"/>
      <c r="K24" s="60"/>
      <c r="L24" s="52"/>
      <c r="M24" s="115">
        <f t="shared" si="1"/>
        <v>3655.1870604782002</v>
      </c>
      <c r="N24" s="58"/>
      <c r="O24" s="61"/>
      <c r="P24" s="61"/>
      <c r="Q24" s="61"/>
      <c r="R24" s="61"/>
      <c r="S24" s="59"/>
      <c r="T24" s="59"/>
      <c r="U24" s="55"/>
      <c r="V24" s="55"/>
      <c r="W24" s="55"/>
    </row>
    <row r="25" spans="1:23">
      <c r="A25" s="138"/>
      <c r="B25" s="223" t="s">
        <v>271</v>
      </c>
      <c r="C25" s="57">
        <f>D25+E25+F25</f>
        <v>22123.95</v>
      </c>
      <c r="D25" s="52">
        <v>115.88500000000001</v>
      </c>
      <c r="E25" s="52">
        <v>21999.99</v>
      </c>
      <c r="F25" s="52">
        <v>8.0749999999999993</v>
      </c>
      <c r="G25" s="52"/>
      <c r="H25" s="57">
        <f t="shared" si="4"/>
        <v>7.3730000000000002</v>
      </c>
      <c r="I25" s="52">
        <v>3.7999999999999999E-2</v>
      </c>
      <c r="J25" s="52">
        <v>7.3330000000000002</v>
      </c>
      <c r="K25" s="52">
        <v>2E-3</v>
      </c>
      <c r="L25" s="52"/>
      <c r="M25" s="115">
        <f t="shared" si="1"/>
        <v>3000.6713685067139</v>
      </c>
      <c r="N25" s="58"/>
      <c r="O25" s="61"/>
      <c r="P25" s="61"/>
      <c r="Q25" s="61"/>
      <c r="R25" s="61"/>
      <c r="S25" s="59"/>
      <c r="T25" s="55"/>
      <c r="U25" s="55"/>
      <c r="V25" s="55"/>
      <c r="W25" s="55"/>
    </row>
    <row r="26" spans="1:23" s="24" customFormat="1">
      <c r="A26" s="138" t="s">
        <v>92</v>
      </c>
      <c r="B26" s="224" t="s">
        <v>93</v>
      </c>
      <c r="C26" s="57">
        <f>D26+E26+F26</f>
        <v>224377.15299999999</v>
      </c>
      <c r="D26" s="57">
        <f>SUM(D27:D32)</f>
        <v>90586.764999999985</v>
      </c>
      <c r="E26" s="57">
        <f>SUM(E27:E32)</f>
        <v>120668.125</v>
      </c>
      <c r="F26" s="57">
        <f>SUM(F27:F32)</f>
        <v>13122.262999999999</v>
      </c>
      <c r="G26" s="57"/>
      <c r="H26" s="57">
        <f>I26+J26+K26</f>
        <v>56.723999999999997</v>
      </c>
      <c r="I26" s="57">
        <f>SUM(I27:I32)</f>
        <v>23.413999999999998</v>
      </c>
      <c r="J26" s="57">
        <f>SUM(J27:J32)</f>
        <v>29.77</v>
      </c>
      <c r="K26" s="57">
        <f>SUM(K27:K32)</f>
        <v>3.54</v>
      </c>
      <c r="L26" s="57"/>
      <c r="M26" s="115">
        <f t="shared" si="1"/>
        <v>3955.5946865524293</v>
      </c>
      <c r="N26" s="58"/>
      <c r="O26" s="116"/>
      <c r="P26" s="116"/>
      <c r="Q26" s="116"/>
      <c r="R26" s="116"/>
      <c r="S26" s="116"/>
      <c r="T26" s="116"/>
      <c r="U26" s="116"/>
      <c r="V26" s="116"/>
      <c r="W26" s="116"/>
    </row>
    <row r="27" spans="1:23">
      <c r="A27" s="138"/>
      <c r="B27" s="222" t="s">
        <v>232</v>
      </c>
      <c r="C27" s="57">
        <f>D27+F27+E27</f>
        <v>22305.343999999997</v>
      </c>
      <c r="D27" s="52">
        <v>16143.504999999999</v>
      </c>
      <c r="E27" s="52"/>
      <c r="F27" s="52">
        <v>6161.8389999999999</v>
      </c>
      <c r="G27" s="52"/>
      <c r="H27" s="57">
        <f t="shared" ref="H27" si="5">I27+J27+K27</f>
        <v>5.8040000000000003</v>
      </c>
      <c r="I27" s="60">
        <v>4.2119999999999997</v>
      </c>
      <c r="J27" s="60"/>
      <c r="K27" s="60">
        <v>1.5920000000000001</v>
      </c>
      <c r="L27" s="52"/>
      <c r="M27" s="115">
        <f t="shared" si="1"/>
        <v>3843.0985527222597</v>
      </c>
      <c r="N27" s="58"/>
      <c r="O27" s="61"/>
      <c r="P27" s="61"/>
      <c r="Q27" s="61"/>
      <c r="R27" s="61"/>
      <c r="S27" s="59"/>
      <c r="T27" s="55"/>
      <c r="U27" s="55"/>
      <c r="V27" s="55"/>
      <c r="W27" s="55"/>
    </row>
    <row r="28" spans="1:23" ht="14.25" customHeight="1">
      <c r="A28" s="138"/>
      <c r="B28" s="222" t="s">
        <v>233</v>
      </c>
      <c r="C28" s="57">
        <f t="shared" ref="C28" si="6">D28+F28+E28</f>
        <v>14957.790999999999</v>
      </c>
      <c r="D28" s="52">
        <v>14957.790999999999</v>
      </c>
      <c r="E28" s="52"/>
      <c r="F28" s="52"/>
      <c r="G28" s="52"/>
      <c r="H28" s="57">
        <f t="shared" si="4"/>
        <v>3.5609999999999999</v>
      </c>
      <c r="I28" s="52">
        <v>3.5609999999999999</v>
      </c>
      <c r="J28" s="52"/>
      <c r="K28" s="52"/>
      <c r="L28" s="52"/>
      <c r="M28" s="115">
        <f t="shared" si="1"/>
        <v>4200.4467846110638</v>
      </c>
      <c r="N28" s="58"/>
      <c r="O28" s="61"/>
      <c r="P28" s="61"/>
      <c r="Q28" s="61"/>
      <c r="R28" s="61"/>
      <c r="S28" s="59"/>
      <c r="T28" s="59"/>
      <c r="U28" s="59"/>
      <c r="V28" s="59"/>
      <c r="W28" s="55"/>
    </row>
    <row r="29" spans="1:23" ht="14.25" customHeight="1">
      <c r="A29" s="138"/>
      <c r="B29" s="225" t="s">
        <v>259</v>
      </c>
      <c r="C29" s="57">
        <f t="shared" ref="C29" si="7">D29+F29+E29</f>
        <v>162227.83299999998</v>
      </c>
      <c r="D29" s="52">
        <v>41142.919000000002</v>
      </c>
      <c r="E29" s="52">
        <v>116704.201</v>
      </c>
      <c r="F29" s="52">
        <v>4380.7129999999997</v>
      </c>
      <c r="G29" s="52"/>
      <c r="H29" s="57">
        <f t="shared" ref="H29" si="8">I29+J29+K29</f>
        <v>40.661999999999999</v>
      </c>
      <c r="I29" s="52">
        <v>10.731</v>
      </c>
      <c r="J29" s="52">
        <v>28.811</v>
      </c>
      <c r="K29" s="52">
        <v>1.1200000000000001</v>
      </c>
      <c r="L29" s="52"/>
      <c r="M29" s="115">
        <f t="shared" ref="M29:M31" si="9">C29/H29</f>
        <v>3989.666838817569</v>
      </c>
      <c r="N29" s="58"/>
      <c r="O29" s="61"/>
      <c r="P29" s="61"/>
      <c r="Q29" s="61"/>
      <c r="R29" s="61"/>
      <c r="S29" s="59"/>
      <c r="T29" s="59"/>
      <c r="U29" s="59"/>
      <c r="V29" s="59"/>
      <c r="W29" s="55"/>
    </row>
    <row r="30" spans="1:23" ht="14.25" customHeight="1">
      <c r="A30" s="138"/>
      <c r="B30" s="225" t="s">
        <v>273</v>
      </c>
      <c r="C30" s="57">
        <f t="shared" ref="C30" si="10">D30+F30+E30</f>
        <v>10157.852000000001</v>
      </c>
      <c r="D30" s="52">
        <v>10157.852000000001</v>
      </c>
      <c r="E30" s="52"/>
      <c r="F30" s="52"/>
      <c r="G30" s="52"/>
      <c r="H30" s="57">
        <f t="shared" ref="H30:H31" si="11">I30+J30+K30</f>
        <v>2.6880000000000002</v>
      </c>
      <c r="I30" s="52">
        <v>2.6880000000000002</v>
      </c>
      <c r="J30" s="52"/>
      <c r="K30" s="52"/>
      <c r="L30" s="52"/>
      <c r="M30" s="115">
        <f t="shared" si="9"/>
        <v>3778.9627976190477</v>
      </c>
      <c r="N30" s="58"/>
      <c r="O30" s="61"/>
      <c r="P30" s="61"/>
      <c r="Q30" s="61"/>
      <c r="R30" s="61"/>
      <c r="S30" s="59"/>
      <c r="T30" s="59"/>
      <c r="U30" s="59"/>
      <c r="V30" s="59"/>
      <c r="W30" s="55"/>
    </row>
    <row r="31" spans="1:23">
      <c r="A31" s="138"/>
      <c r="B31" s="223" t="s">
        <v>280</v>
      </c>
      <c r="C31" s="57">
        <f>D31+E31+F31</f>
        <v>3939.5079999999998</v>
      </c>
      <c r="D31" s="52">
        <v>374.62</v>
      </c>
      <c r="E31" s="52">
        <v>3564.8879999999999</v>
      </c>
      <c r="F31" s="52"/>
      <c r="G31" s="52"/>
      <c r="H31" s="57">
        <f t="shared" si="11"/>
        <v>0.97799999999999998</v>
      </c>
      <c r="I31" s="52">
        <v>0.114</v>
      </c>
      <c r="J31" s="52">
        <v>0.86399999999999999</v>
      </c>
      <c r="K31" s="52"/>
      <c r="L31" s="52"/>
      <c r="M31" s="115">
        <f t="shared" si="9"/>
        <v>4028.1267893660529</v>
      </c>
      <c r="N31" s="58"/>
      <c r="O31" s="61"/>
      <c r="P31" s="61"/>
      <c r="Q31" s="61"/>
      <c r="R31" s="61"/>
      <c r="S31" s="59"/>
      <c r="T31" s="55"/>
      <c r="U31" s="55"/>
      <c r="V31" s="55"/>
      <c r="W31" s="55"/>
    </row>
    <row r="32" spans="1:23" ht="14.25" customHeight="1">
      <c r="A32" s="138"/>
      <c r="B32" s="143" t="s">
        <v>260</v>
      </c>
      <c r="C32" s="57">
        <f>D32+F32+E32</f>
        <v>10788.825000000001</v>
      </c>
      <c r="D32" s="52">
        <v>7810.0780000000004</v>
      </c>
      <c r="E32" s="52">
        <v>399.036</v>
      </c>
      <c r="F32" s="52">
        <v>2579.7109999999998</v>
      </c>
      <c r="G32" s="52"/>
      <c r="H32" s="57">
        <f t="shared" si="4"/>
        <v>3.0310000000000001</v>
      </c>
      <c r="I32" s="60">
        <v>2.1080000000000001</v>
      </c>
      <c r="J32" s="60">
        <v>9.5000000000000001E-2</v>
      </c>
      <c r="K32" s="52">
        <v>0.82799999999999996</v>
      </c>
      <c r="L32" s="52"/>
      <c r="M32" s="115">
        <f t="shared" si="1"/>
        <v>3559.4935664797099</v>
      </c>
      <c r="N32" s="58"/>
      <c r="O32" s="61"/>
      <c r="P32" s="61"/>
      <c r="Q32" s="61"/>
      <c r="R32" s="61"/>
      <c r="S32" s="59"/>
      <c r="T32" s="59"/>
      <c r="U32" s="59"/>
      <c r="V32" s="59"/>
      <c r="W32" s="55"/>
    </row>
    <row r="33" spans="1:23">
      <c r="A33" s="144" t="s">
        <v>94</v>
      </c>
      <c r="B33" s="145" t="s">
        <v>95</v>
      </c>
      <c r="C33" s="57">
        <f>D33+E33+F33</f>
        <v>36785.589</v>
      </c>
      <c r="D33" s="57">
        <f>SUM(D34:D40)</f>
        <v>5692.5870000000004</v>
      </c>
      <c r="E33" s="57">
        <f>SUM(E34:E40)</f>
        <v>30834.919000000002</v>
      </c>
      <c r="F33" s="57">
        <f>SUM(F34:F40)</f>
        <v>258.08299999999997</v>
      </c>
      <c r="G33" s="57"/>
      <c r="H33" s="57">
        <f t="shared" si="4"/>
        <v>10.396000000000001</v>
      </c>
      <c r="I33" s="57">
        <f>SUM(I34:I40)</f>
        <v>1.905</v>
      </c>
      <c r="J33" s="57">
        <f>SUM(J34:J40)</f>
        <v>8.4300000000000015</v>
      </c>
      <c r="K33" s="57">
        <f>SUM(K34:K40)</f>
        <v>6.0999999999999999E-2</v>
      </c>
      <c r="L33" s="57"/>
      <c r="M33" s="115">
        <f t="shared" si="1"/>
        <v>3538.4368026163907</v>
      </c>
      <c r="N33" s="58"/>
      <c r="O33" s="116"/>
      <c r="P33" s="116"/>
      <c r="Q33" s="116"/>
      <c r="R33" s="116"/>
      <c r="S33" s="116"/>
      <c r="T33" s="116"/>
      <c r="U33" s="116"/>
      <c r="V33" s="116"/>
      <c r="W33" s="116"/>
    </row>
    <row r="34" spans="1:23">
      <c r="A34" s="138"/>
      <c r="B34" s="143" t="s">
        <v>279</v>
      </c>
      <c r="C34" s="57">
        <f>D34+E34+F34</f>
        <v>89.995999999999995</v>
      </c>
      <c r="D34" s="52"/>
      <c r="E34" s="52"/>
      <c r="F34" s="52">
        <v>89.995999999999995</v>
      </c>
      <c r="G34" s="52"/>
      <c r="H34" s="57">
        <f t="shared" si="4"/>
        <v>2.3E-2</v>
      </c>
      <c r="I34" s="52"/>
      <c r="J34" s="52"/>
      <c r="K34" s="52">
        <v>2.3E-2</v>
      </c>
      <c r="L34" s="52"/>
      <c r="M34" s="115">
        <f t="shared" si="1"/>
        <v>3912.869565217391</v>
      </c>
      <c r="N34" s="58"/>
      <c r="O34" s="53"/>
      <c r="P34" s="53"/>
      <c r="Q34" s="53"/>
      <c r="R34" s="53"/>
      <c r="S34" s="59"/>
      <c r="T34" s="55"/>
      <c r="U34" s="55"/>
      <c r="V34" s="55"/>
      <c r="W34" s="55"/>
    </row>
    <row r="35" spans="1:23">
      <c r="A35" s="138"/>
      <c r="B35" s="143" t="s">
        <v>274</v>
      </c>
      <c r="C35" s="57">
        <f>D35+E35+F35</f>
        <v>168.08699999999999</v>
      </c>
      <c r="D35" s="52"/>
      <c r="E35" s="52"/>
      <c r="F35" s="52">
        <v>168.08699999999999</v>
      </c>
      <c r="G35" s="52"/>
      <c r="H35" s="57">
        <f t="shared" ref="H35" si="12">I35+J35+K35</f>
        <v>3.7999999999999999E-2</v>
      </c>
      <c r="I35" s="52"/>
      <c r="J35" s="52"/>
      <c r="K35" s="52">
        <v>3.7999999999999999E-2</v>
      </c>
      <c r="L35" s="52"/>
      <c r="M35" s="115">
        <f t="shared" ref="M35" si="13">C35/H35</f>
        <v>4423.3421052631575</v>
      </c>
      <c r="N35" s="58"/>
      <c r="O35" s="53"/>
      <c r="P35" s="53"/>
      <c r="Q35" s="53"/>
      <c r="R35" s="53"/>
      <c r="S35" s="59"/>
      <c r="T35" s="55"/>
      <c r="U35" s="55"/>
      <c r="V35" s="55"/>
      <c r="W35" s="55"/>
    </row>
    <row r="36" spans="1:23">
      <c r="A36" s="138"/>
      <c r="B36" s="143" t="s">
        <v>256</v>
      </c>
      <c r="C36" s="57">
        <f t="shared" ref="C36" si="14">D36+E36+F36</f>
        <v>30225.615000000002</v>
      </c>
      <c r="D36" s="52"/>
      <c r="E36" s="52">
        <v>30225.615000000002</v>
      </c>
      <c r="F36" s="52"/>
      <c r="G36" s="52"/>
      <c r="H36" s="57">
        <f t="shared" si="4"/>
        <v>8.2840000000000007</v>
      </c>
      <c r="I36" s="52"/>
      <c r="J36" s="52">
        <v>8.2840000000000007</v>
      </c>
      <c r="K36" s="52"/>
      <c r="L36" s="52"/>
      <c r="M36" s="115">
        <f t="shared" si="1"/>
        <v>3648.6739497827134</v>
      </c>
      <c r="N36" s="58"/>
      <c r="O36" s="53"/>
      <c r="P36" s="53"/>
      <c r="Q36" s="53"/>
      <c r="R36" s="53"/>
      <c r="S36" s="59"/>
      <c r="T36" s="55"/>
      <c r="U36" s="55"/>
      <c r="V36" s="55"/>
      <c r="W36" s="55"/>
    </row>
    <row r="37" spans="1:23">
      <c r="A37" s="138"/>
      <c r="B37" s="143" t="s">
        <v>258</v>
      </c>
      <c r="C37" s="57">
        <f t="shared" ref="C37" si="15">D37+E37+F37</f>
        <v>5692.5870000000004</v>
      </c>
      <c r="D37" s="52">
        <v>5692.5870000000004</v>
      </c>
      <c r="E37" s="52"/>
      <c r="F37" s="52"/>
      <c r="G37" s="52"/>
      <c r="H37" s="57">
        <f t="shared" ref="H37" si="16">I37+J37+K37</f>
        <v>1.905</v>
      </c>
      <c r="I37" s="52">
        <v>1.905</v>
      </c>
      <c r="J37" s="52"/>
      <c r="K37" s="52"/>
      <c r="L37" s="52"/>
      <c r="M37" s="115">
        <f t="shared" ref="M37" si="17">C37/H37</f>
        <v>2988.2346456692917</v>
      </c>
      <c r="N37" s="58"/>
      <c r="O37" s="53"/>
      <c r="P37" s="53"/>
      <c r="Q37" s="53"/>
      <c r="R37" s="53"/>
      <c r="S37" s="59"/>
      <c r="T37" s="55"/>
      <c r="U37" s="55"/>
      <c r="V37" s="55"/>
      <c r="W37" s="55"/>
    </row>
    <row r="38" spans="1:23">
      <c r="A38" s="138"/>
      <c r="B38" s="143" t="s">
        <v>235</v>
      </c>
      <c r="C38" s="57">
        <f>D38+E38+F38</f>
        <v>609.30399999999997</v>
      </c>
      <c r="D38" s="52"/>
      <c r="E38" s="52">
        <v>609.30399999999997</v>
      </c>
      <c r="F38" s="52"/>
      <c r="G38" s="52"/>
      <c r="H38" s="57">
        <f>I38+J38+K38</f>
        <v>0.14599999999999999</v>
      </c>
      <c r="I38" s="52"/>
      <c r="J38" s="52">
        <v>0.14599999999999999</v>
      </c>
      <c r="K38" s="52"/>
      <c r="L38" s="52"/>
      <c r="M38" s="115">
        <f>C38/H38</f>
        <v>4173.3150684931506</v>
      </c>
      <c r="N38" s="58"/>
      <c r="O38" s="53"/>
      <c r="P38" s="53"/>
      <c r="Q38" s="53"/>
      <c r="R38" s="53"/>
      <c r="S38" s="59"/>
      <c r="T38" s="55"/>
      <c r="U38" s="55"/>
      <c r="V38" s="55"/>
      <c r="W38" s="55"/>
    </row>
    <row r="39" spans="1:23" hidden="1">
      <c r="A39" s="138"/>
      <c r="B39" s="143"/>
      <c r="C39" s="57"/>
      <c r="D39" s="52"/>
      <c r="E39" s="52"/>
      <c r="F39" s="52"/>
      <c r="G39" s="52"/>
      <c r="H39" s="57"/>
      <c r="I39" s="52"/>
      <c r="J39" s="52"/>
      <c r="K39" s="52"/>
      <c r="L39" s="52"/>
      <c r="M39" s="115"/>
      <c r="N39" s="58"/>
      <c r="O39" s="53"/>
      <c r="P39" s="53"/>
      <c r="Q39" s="53"/>
      <c r="R39" s="53"/>
      <c r="S39" s="59"/>
      <c r="T39" s="55"/>
      <c r="U39" s="55"/>
      <c r="V39" s="55"/>
      <c r="W39" s="55"/>
    </row>
    <row r="40" spans="1:23" hidden="1">
      <c r="A40" s="138"/>
      <c r="B40" s="143"/>
      <c r="C40" s="57">
        <f>D40+E40+F40</f>
        <v>0</v>
      </c>
      <c r="D40" s="52"/>
      <c r="E40" s="52"/>
      <c r="F40" s="52"/>
      <c r="G40" s="52"/>
      <c r="H40" s="57">
        <f t="shared" si="4"/>
        <v>0</v>
      </c>
      <c r="I40" s="52"/>
      <c r="J40" s="52"/>
      <c r="K40" s="52"/>
      <c r="L40" s="52"/>
      <c r="M40" s="115" t="e">
        <f t="shared" si="1"/>
        <v>#DIV/0!</v>
      </c>
      <c r="N40" s="58"/>
      <c r="O40" s="53"/>
      <c r="P40" s="53"/>
      <c r="Q40" s="53"/>
      <c r="R40" s="53"/>
      <c r="S40" s="59"/>
      <c r="T40" s="55"/>
      <c r="U40" s="59"/>
      <c r="V40" s="55"/>
      <c r="W40" s="55"/>
    </row>
    <row r="41" spans="1:23" s="24" customFormat="1">
      <c r="A41" s="144" t="s">
        <v>96</v>
      </c>
      <c r="B41" s="140" t="s">
        <v>97</v>
      </c>
      <c r="C41" s="57">
        <f>C33+C17+C9</f>
        <v>300386.97700000001</v>
      </c>
      <c r="D41" s="57">
        <f>D33+D17+D9</f>
        <v>105854.11499999999</v>
      </c>
      <c r="E41" s="57">
        <f>E33+E17+E9</f>
        <v>175319.73800000001</v>
      </c>
      <c r="F41" s="57">
        <f>F33+F17+F9</f>
        <v>19213.123999999996</v>
      </c>
      <c r="G41" s="57"/>
      <c r="H41" s="57">
        <f>H33+H17+H9</f>
        <v>80.404000000000011</v>
      </c>
      <c r="I41" s="57">
        <f>I33+I17+I9</f>
        <v>28.736999999999998</v>
      </c>
      <c r="J41" s="57">
        <f>J33+J17+J9</f>
        <v>46.161999999999999</v>
      </c>
      <c r="K41" s="57">
        <f>K33+K17+K9</f>
        <v>5.5049999999999999</v>
      </c>
      <c r="L41" s="57"/>
      <c r="M41" s="115">
        <f t="shared" si="1"/>
        <v>3735.9705611661107</v>
      </c>
      <c r="N41" s="58"/>
      <c r="O41" s="116"/>
      <c r="P41" s="116"/>
      <c r="Q41" s="116"/>
      <c r="R41" s="116"/>
      <c r="S41" s="116"/>
      <c r="T41" s="116"/>
      <c r="U41" s="116"/>
      <c r="V41" s="116"/>
      <c r="W41" s="116"/>
    </row>
    <row r="42" spans="1:23">
      <c r="C42" s="162"/>
      <c r="D42" s="162"/>
      <c r="E42" s="162"/>
      <c r="F42" s="162"/>
      <c r="H42" s="162"/>
      <c r="I42" s="162"/>
      <c r="J42" s="162"/>
      <c r="K42" s="162"/>
    </row>
    <row r="43" spans="1:23">
      <c r="B43" s="162"/>
      <c r="C43" s="162"/>
      <c r="D43" s="162"/>
      <c r="E43" s="162"/>
      <c r="F43" s="162"/>
    </row>
    <row r="45" spans="1:23" s="24" customFormat="1" ht="25.5" customHeight="1">
      <c r="A45" s="202" t="s">
        <v>70</v>
      </c>
      <c r="B45" s="202" t="s">
        <v>14</v>
      </c>
      <c r="C45" s="203" t="s">
        <v>71</v>
      </c>
      <c r="D45" s="203"/>
      <c r="E45" s="203"/>
      <c r="F45" s="203"/>
      <c r="G45" s="203"/>
      <c r="H45" s="206" t="s">
        <v>72</v>
      </c>
      <c r="I45" s="206"/>
      <c r="J45" s="206"/>
      <c r="K45" s="206"/>
      <c r="L45" s="206"/>
      <c r="M45" s="207" t="s">
        <v>73</v>
      </c>
      <c r="N45" s="208" t="s">
        <v>74</v>
      </c>
      <c r="O45" s="209"/>
      <c r="P45" s="209"/>
      <c r="Q45" s="209"/>
      <c r="R45" s="210"/>
      <c r="S45" s="211" t="s">
        <v>75</v>
      </c>
      <c r="T45" s="211"/>
      <c r="U45" s="211"/>
      <c r="V45" s="211"/>
      <c r="W45" s="211"/>
    </row>
    <row r="46" spans="1:23" s="24" customFormat="1" ht="18" customHeight="1">
      <c r="A46" s="202"/>
      <c r="B46" s="202"/>
      <c r="C46" s="47" t="s">
        <v>76</v>
      </c>
      <c r="D46" s="47" t="s">
        <v>6</v>
      </c>
      <c r="E46" s="47" t="s">
        <v>7</v>
      </c>
      <c r="F46" s="47" t="s">
        <v>77</v>
      </c>
      <c r="G46" s="47" t="s">
        <v>9</v>
      </c>
      <c r="H46" s="47" t="s">
        <v>76</v>
      </c>
      <c r="I46" s="47" t="s">
        <v>6</v>
      </c>
      <c r="J46" s="47" t="s">
        <v>7</v>
      </c>
      <c r="K46" s="47" t="s">
        <v>77</v>
      </c>
      <c r="L46" s="47" t="s">
        <v>9</v>
      </c>
      <c r="M46" s="207"/>
      <c r="N46" s="26" t="s">
        <v>76</v>
      </c>
      <c r="O46" s="48" t="s">
        <v>6</v>
      </c>
      <c r="P46" s="48" t="s">
        <v>7</v>
      </c>
      <c r="Q46" s="48" t="s">
        <v>77</v>
      </c>
      <c r="R46" s="48" t="s">
        <v>9</v>
      </c>
      <c r="S46" s="26" t="s">
        <v>76</v>
      </c>
      <c r="T46" s="26" t="s">
        <v>6</v>
      </c>
      <c r="U46" s="26" t="s">
        <v>7</v>
      </c>
      <c r="V46" s="26" t="s">
        <v>77</v>
      </c>
      <c r="W46" s="26" t="s">
        <v>9</v>
      </c>
    </row>
    <row r="47" spans="1:23" s="51" customFormat="1" ht="13.5" customHeight="1">
      <c r="A47" s="49">
        <v>1</v>
      </c>
      <c r="B47" s="50">
        <f t="shared" ref="B47" si="18">+A47+1</f>
        <v>2</v>
      </c>
      <c r="C47" s="50">
        <f>+B47+1</f>
        <v>3</v>
      </c>
      <c r="D47" s="50">
        <f t="shared" ref="D47:W47" si="19">+C47+1</f>
        <v>4</v>
      </c>
      <c r="E47" s="50">
        <f t="shared" si="19"/>
        <v>5</v>
      </c>
      <c r="F47" s="50">
        <f t="shared" si="19"/>
        <v>6</v>
      </c>
      <c r="G47" s="50">
        <f t="shared" si="19"/>
        <v>7</v>
      </c>
      <c r="H47" s="50">
        <f t="shared" si="19"/>
        <v>8</v>
      </c>
      <c r="I47" s="50">
        <f t="shared" si="19"/>
        <v>9</v>
      </c>
      <c r="J47" s="50">
        <f t="shared" si="19"/>
        <v>10</v>
      </c>
      <c r="K47" s="50">
        <f t="shared" si="19"/>
        <v>11</v>
      </c>
      <c r="L47" s="50">
        <f t="shared" si="19"/>
        <v>12</v>
      </c>
      <c r="M47" s="50">
        <f t="shared" si="19"/>
        <v>13</v>
      </c>
      <c r="N47" s="50">
        <f t="shared" si="19"/>
        <v>14</v>
      </c>
      <c r="O47" s="50">
        <f t="shared" si="19"/>
        <v>15</v>
      </c>
      <c r="P47" s="50">
        <f t="shared" si="19"/>
        <v>16</v>
      </c>
      <c r="Q47" s="50">
        <f t="shared" si="19"/>
        <v>17</v>
      </c>
      <c r="R47" s="50">
        <f t="shared" si="19"/>
        <v>18</v>
      </c>
      <c r="S47" s="50">
        <f t="shared" si="19"/>
        <v>19</v>
      </c>
      <c r="T47" s="50">
        <f t="shared" si="19"/>
        <v>20</v>
      </c>
      <c r="U47" s="50">
        <f t="shared" si="19"/>
        <v>21</v>
      </c>
      <c r="V47" s="50">
        <f t="shared" si="19"/>
        <v>22</v>
      </c>
      <c r="W47" s="50">
        <f t="shared" si="19"/>
        <v>23</v>
      </c>
    </row>
    <row r="48" spans="1:23" ht="15" customHeight="1">
      <c r="A48" s="199" t="str">
        <f>'П1.5'!I4</f>
        <v>Факт 2 полугодие 2022г.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1"/>
    </row>
    <row r="49" spans="1:23" s="24" customFormat="1">
      <c r="A49" s="136">
        <v>1</v>
      </c>
      <c r="B49" s="137" t="s">
        <v>16</v>
      </c>
      <c r="C49" s="57">
        <f>SUM(D49:F49)</f>
        <v>942.18099999999993</v>
      </c>
      <c r="D49" s="57">
        <f>D51+D52</f>
        <v>127.309</v>
      </c>
      <c r="E49" s="57">
        <f>SUM(E50:E53)</f>
        <v>0</v>
      </c>
      <c r="F49" s="57">
        <f>F52+F53+F56+F51</f>
        <v>814.87199999999996</v>
      </c>
      <c r="G49" s="57"/>
      <c r="H49" s="57">
        <f>SUM(I49:K49)</f>
        <v>0.26400000000000001</v>
      </c>
      <c r="I49" s="57">
        <f>I51+I52</f>
        <v>3.5999999999999997E-2</v>
      </c>
      <c r="J49" s="57">
        <f>J51+J52</f>
        <v>0</v>
      </c>
      <c r="K49" s="57">
        <f>K52+K53+K56+K51</f>
        <v>0.22800000000000001</v>
      </c>
      <c r="L49" s="57"/>
      <c r="M49" s="115">
        <f>C49/H49</f>
        <v>3568.867424242424</v>
      </c>
      <c r="N49" s="58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>
      <c r="A50" s="138" t="s">
        <v>25</v>
      </c>
      <c r="B50" s="139" t="s">
        <v>17</v>
      </c>
      <c r="C50" s="57"/>
      <c r="D50" s="52"/>
      <c r="E50" s="52"/>
      <c r="F50" s="52"/>
      <c r="G50" s="52"/>
      <c r="H50" s="57"/>
      <c r="I50" s="52"/>
      <c r="J50" s="52"/>
      <c r="K50" s="52"/>
      <c r="L50" s="52"/>
      <c r="M50" s="115"/>
      <c r="N50" s="58"/>
      <c r="O50" s="53"/>
      <c r="P50" s="53"/>
      <c r="Q50" s="53"/>
      <c r="R50" s="53"/>
      <c r="S50" s="54"/>
      <c r="T50" s="55"/>
      <c r="U50" s="55"/>
      <c r="V50" s="55"/>
      <c r="W50" s="55"/>
    </row>
    <row r="51" spans="1:23" s="24" customFormat="1" ht="13.5" customHeight="1">
      <c r="A51" s="138" t="s">
        <v>78</v>
      </c>
      <c r="B51" s="139" t="s">
        <v>79</v>
      </c>
      <c r="C51" s="57">
        <f>D51+F51</f>
        <v>76.501999999999995</v>
      </c>
      <c r="D51" s="52"/>
      <c r="E51" s="52"/>
      <c r="F51" s="52">
        <v>76.501999999999995</v>
      </c>
      <c r="G51" s="52"/>
      <c r="H51" s="57">
        <f>I51+K51</f>
        <v>2.1999999999999999E-2</v>
      </c>
      <c r="I51" s="52"/>
      <c r="J51" s="52"/>
      <c r="K51" s="52">
        <v>2.1999999999999999E-2</v>
      </c>
      <c r="L51" s="52"/>
      <c r="M51" s="115">
        <f t="shared" ref="M51:M52" si="20">C51/H51</f>
        <v>3477.3636363636365</v>
      </c>
      <c r="N51" s="58"/>
      <c r="O51" s="53"/>
      <c r="P51" s="53"/>
      <c r="Q51" s="53"/>
      <c r="R51" s="53"/>
      <c r="S51" s="54"/>
      <c r="T51" s="55"/>
      <c r="U51" s="55"/>
      <c r="V51" s="55"/>
      <c r="W51" s="55"/>
    </row>
    <row r="52" spans="1:23" s="24" customFormat="1">
      <c r="A52" s="138" t="s">
        <v>80</v>
      </c>
      <c r="B52" s="139" t="s">
        <v>81</v>
      </c>
      <c r="C52" s="57">
        <f>D52+F52+E52</f>
        <v>848.30899999999997</v>
      </c>
      <c r="D52" s="52">
        <v>127.309</v>
      </c>
      <c r="E52" s="52"/>
      <c r="F52" s="52">
        <v>721</v>
      </c>
      <c r="G52" s="52"/>
      <c r="H52" s="57">
        <f>SUM(I52:K52)</f>
        <v>0.23700000000000002</v>
      </c>
      <c r="I52" s="52">
        <v>3.5999999999999997E-2</v>
      </c>
      <c r="J52" s="52"/>
      <c r="K52" s="52">
        <v>0.20100000000000001</v>
      </c>
      <c r="L52" s="52"/>
      <c r="M52" s="115">
        <f t="shared" si="20"/>
        <v>3579.3628691983117</v>
      </c>
      <c r="N52" s="58"/>
      <c r="O52" s="53"/>
      <c r="P52" s="53"/>
      <c r="Q52" s="53"/>
      <c r="R52" s="53"/>
      <c r="S52" s="54"/>
      <c r="T52" s="55"/>
      <c r="U52" s="55"/>
      <c r="V52" s="55"/>
      <c r="W52" s="55"/>
    </row>
    <row r="53" spans="1:23" s="24" customFormat="1">
      <c r="A53" s="138" t="s">
        <v>82</v>
      </c>
      <c r="B53" s="139" t="s">
        <v>83</v>
      </c>
      <c r="C53" s="57">
        <f>SUM(D53:F53)</f>
        <v>0</v>
      </c>
      <c r="D53" s="52"/>
      <c r="E53" s="52"/>
      <c r="F53" s="52"/>
      <c r="G53" s="52"/>
      <c r="H53" s="57">
        <f>SUM(J53:K53)</f>
        <v>0</v>
      </c>
      <c r="I53" s="52"/>
      <c r="J53" s="52"/>
      <c r="K53" s="52"/>
      <c r="L53" s="52"/>
      <c r="M53" s="115"/>
      <c r="N53" s="58"/>
      <c r="O53" s="53"/>
      <c r="P53" s="53"/>
      <c r="Q53" s="53"/>
      <c r="R53" s="53"/>
      <c r="S53" s="54"/>
      <c r="T53" s="55"/>
      <c r="U53" s="55"/>
      <c r="V53" s="55"/>
      <c r="W53" s="55"/>
    </row>
    <row r="54" spans="1:23" s="24" customFormat="1">
      <c r="A54" s="138" t="s">
        <v>26</v>
      </c>
      <c r="B54" s="139" t="s">
        <v>18</v>
      </c>
      <c r="C54" s="57"/>
      <c r="D54" s="52"/>
      <c r="E54" s="52"/>
      <c r="F54" s="52"/>
      <c r="G54" s="52"/>
      <c r="H54" s="57"/>
      <c r="I54" s="52"/>
      <c r="J54" s="52"/>
      <c r="K54" s="52"/>
      <c r="L54" s="52"/>
      <c r="M54" s="115"/>
      <c r="N54" s="58"/>
      <c r="O54" s="53"/>
      <c r="P54" s="53"/>
      <c r="Q54" s="53"/>
      <c r="R54" s="53"/>
      <c r="S54" s="54"/>
      <c r="T54" s="55"/>
      <c r="U54" s="55"/>
      <c r="V54" s="55"/>
      <c r="W54" s="55"/>
    </row>
    <row r="55" spans="1:23" s="24" customFormat="1">
      <c r="A55" s="138" t="s">
        <v>84</v>
      </c>
      <c r="B55" s="139" t="s">
        <v>79</v>
      </c>
      <c r="C55" s="57"/>
      <c r="D55" s="52"/>
      <c r="E55" s="52"/>
      <c r="F55" s="52"/>
      <c r="G55" s="52"/>
      <c r="H55" s="57"/>
      <c r="I55" s="52"/>
      <c r="J55" s="52"/>
      <c r="K55" s="52"/>
      <c r="L55" s="52"/>
      <c r="M55" s="115"/>
      <c r="N55" s="58"/>
      <c r="O55" s="53"/>
      <c r="P55" s="53"/>
      <c r="Q55" s="53"/>
      <c r="R55" s="53"/>
      <c r="S55" s="54"/>
      <c r="T55" s="55"/>
      <c r="U55" s="55"/>
      <c r="V55" s="55"/>
      <c r="W55" s="55"/>
    </row>
    <row r="56" spans="1:23" s="24" customFormat="1">
      <c r="A56" s="138" t="s">
        <v>85</v>
      </c>
      <c r="B56" s="139" t="s">
        <v>86</v>
      </c>
      <c r="C56" s="57">
        <f>D56+F56</f>
        <v>17.37</v>
      </c>
      <c r="D56" s="52"/>
      <c r="E56" s="52"/>
      <c r="F56" s="52">
        <v>17.37</v>
      </c>
      <c r="G56" s="52"/>
      <c r="H56" s="57">
        <f>I56+K56</f>
        <v>5.0000000000000001E-3</v>
      </c>
      <c r="I56" s="52"/>
      <c r="J56" s="52"/>
      <c r="K56" s="52">
        <v>5.0000000000000001E-3</v>
      </c>
      <c r="L56" s="52"/>
      <c r="M56" s="115">
        <f t="shared" ref="M56:M57" si="21">C56/H56</f>
        <v>3474</v>
      </c>
      <c r="N56" s="58"/>
      <c r="O56" s="116"/>
      <c r="P56" s="116"/>
      <c r="Q56" s="116"/>
      <c r="R56" s="116"/>
      <c r="S56" s="116"/>
      <c r="T56" s="116"/>
      <c r="U56" s="116"/>
      <c r="V56" s="116"/>
      <c r="W56" s="116"/>
    </row>
    <row r="57" spans="1:23" s="24" customFormat="1">
      <c r="A57" s="136" t="s">
        <v>19</v>
      </c>
      <c r="B57" s="140" t="s">
        <v>20</v>
      </c>
      <c r="C57" s="57">
        <f>C62+C66</f>
        <v>274104.71100000001</v>
      </c>
      <c r="D57" s="57">
        <f>D62+D66</f>
        <v>97468.513000000006</v>
      </c>
      <c r="E57" s="57">
        <f>E62+E66</f>
        <v>160016.11800000002</v>
      </c>
      <c r="F57" s="57">
        <f>F62+F66</f>
        <v>16620.080000000002</v>
      </c>
      <c r="G57" s="57"/>
      <c r="H57" s="57">
        <f t="shared" ref="H57" si="22">I57+J57+K57</f>
        <v>71.89200000000001</v>
      </c>
      <c r="I57" s="57">
        <f>I62+I66</f>
        <v>25.712</v>
      </c>
      <c r="J57" s="57">
        <f>J62+J66</f>
        <v>41.349000000000004</v>
      </c>
      <c r="K57" s="57">
        <f>K62+K66</f>
        <v>4.8309999999999995</v>
      </c>
      <c r="L57" s="57"/>
      <c r="M57" s="115">
        <f t="shared" si="21"/>
        <v>3812.7289684526786</v>
      </c>
      <c r="N57" s="58"/>
      <c r="O57" s="116"/>
      <c r="P57" s="116"/>
      <c r="Q57" s="116"/>
      <c r="R57" s="116"/>
      <c r="S57" s="116"/>
      <c r="T57" s="116"/>
      <c r="U57" s="116"/>
      <c r="V57" s="116"/>
      <c r="W57" s="116"/>
    </row>
    <row r="58" spans="1:23" s="24" customFormat="1">
      <c r="A58" s="138" t="s">
        <v>42</v>
      </c>
      <c r="B58" s="56" t="s">
        <v>87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115"/>
      <c r="N58" s="58"/>
      <c r="O58" s="116"/>
      <c r="P58" s="116"/>
      <c r="Q58" s="116"/>
      <c r="R58" s="116"/>
      <c r="S58" s="116"/>
      <c r="T58" s="116"/>
      <c r="U58" s="116"/>
      <c r="V58" s="116"/>
      <c r="W58" s="116"/>
    </row>
    <row r="59" spans="1:23">
      <c r="A59" s="141"/>
      <c r="B59" s="56" t="s">
        <v>88</v>
      </c>
      <c r="C59" s="57"/>
      <c r="D59" s="52"/>
      <c r="E59" s="52"/>
      <c r="F59" s="52"/>
      <c r="G59" s="52"/>
      <c r="H59" s="57"/>
      <c r="I59" s="52"/>
      <c r="J59" s="52"/>
      <c r="K59" s="52"/>
      <c r="L59" s="52"/>
      <c r="M59" s="115"/>
      <c r="N59" s="58"/>
      <c r="O59" s="53"/>
      <c r="P59" s="53"/>
      <c r="Q59" s="53"/>
      <c r="R59" s="53"/>
      <c r="S59" s="59"/>
      <c r="T59" s="55"/>
      <c r="U59" s="55"/>
      <c r="V59" s="55"/>
      <c r="W59" s="55"/>
    </row>
    <row r="60" spans="1:23">
      <c r="A60" s="141"/>
      <c r="B60" s="56" t="s">
        <v>89</v>
      </c>
      <c r="C60" s="57"/>
      <c r="D60" s="52"/>
      <c r="E60" s="52"/>
      <c r="F60" s="52"/>
      <c r="G60" s="52"/>
      <c r="H60" s="57"/>
      <c r="I60" s="52"/>
      <c r="J60" s="52"/>
      <c r="K60" s="52"/>
      <c r="L60" s="52"/>
      <c r="M60" s="115"/>
      <c r="N60" s="58"/>
      <c r="O60" s="53"/>
      <c r="P60" s="53"/>
      <c r="Q60" s="53"/>
      <c r="R60" s="53"/>
      <c r="S60" s="59"/>
      <c r="T60" s="55"/>
      <c r="U60" s="55"/>
      <c r="V60" s="55"/>
      <c r="W60" s="55"/>
    </row>
    <row r="61" spans="1:23">
      <c r="A61" s="138"/>
      <c r="B61" s="56" t="s">
        <v>90</v>
      </c>
      <c r="C61" s="57"/>
      <c r="D61" s="52"/>
      <c r="E61" s="52"/>
      <c r="F61" s="52"/>
      <c r="G61" s="52"/>
      <c r="H61" s="57"/>
      <c r="I61" s="52"/>
      <c r="J61" s="52"/>
      <c r="K61" s="52"/>
      <c r="L61" s="52"/>
      <c r="M61" s="115"/>
      <c r="N61" s="58"/>
      <c r="O61" s="53"/>
      <c r="P61" s="53"/>
      <c r="Q61" s="53"/>
      <c r="R61" s="53"/>
      <c r="S61" s="59"/>
      <c r="T61" s="55"/>
      <c r="U61" s="55"/>
      <c r="V61" s="55"/>
      <c r="W61" s="55"/>
    </row>
    <row r="62" spans="1:23" s="24" customFormat="1">
      <c r="A62" s="138" t="s">
        <v>46</v>
      </c>
      <c r="B62" s="142" t="s">
        <v>91</v>
      </c>
      <c r="C62" s="57">
        <f t="shared" ref="C62" si="23">D62+E62+F62</f>
        <v>40399.982000000004</v>
      </c>
      <c r="D62" s="57">
        <f>SUM(D63:D65)</f>
        <v>10390.852000000001</v>
      </c>
      <c r="E62" s="57">
        <f>SUM(E63:E65)</f>
        <v>24745.953000000001</v>
      </c>
      <c r="F62" s="57">
        <f>SUM(F63:F65)</f>
        <v>5263.1769999999997</v>
      </c>
      <c r="G62" s="57"/>
      <c r="H62" s="57">
        <f t="shared" ref="H62" si="24">I62+J62+K62</f>
        <v>13.043000000000001</v>
      </c>
      <c r="I62" s="57">
        <f>SUM(I63:I65)</f>
        <v>3.105</v>
      </c>
      <c r="J62" s="57">
        <f>SUM(J63:J65)</f>
        <v>8.1820000000000004</v>
      </c>
      <c r="K62" s="57">
        <f>SUM(K63:K65)</f>
        <v>1.756</v>
      </c>
      <c r="L62" s="57"/>
      <c r="M62" s="115">
        <f t="shared" ref="M62" si="25">C62/H62</f>
        <v>3097.4455263359655</v>
      </c>
      <c r="N62" s="58"/>
      <c r="O62" s="116"/>
      <c r="P62" s="116"/>
      <c r="Q62" s="116"/>
      <c r="R62" s="116"/>
      <c r="S62" s="116"/>
      <c r="T62" s="116"/>
      <c r="U62" s="116"/>
      <c r="V62" s="116"/>
      <c r="W62" s="116"/>
    </row>
    <row r="63" spans="1:23">
      <c r="A63" s="138"/>
      <c r="B63" s="143" t="s">
        <v>272</v>
      </c>
      <c r="C63" s="57">
        <f t="shared" ref="C63:C65" si="26">D63+E63+F63</f>
        <v>12549.797999999999</v>
      </c>
      <c r="D63" s="60">
        <v>5409.3249999999998</v>
      </c>
      <c r="E63" s="60">
        <v>1885.4839999999999</v>
      </c>
      <c r="F63" s="60">
        <v>5254.9889999999996</v>
      </c>
      <c r="G63" s="52"/>
      <c r="H63" s="57">
        <f t="shared" ref="H63:H65" si="27">I63+J63+K63</f>
        <v>4.0110000000000001</v>
      </c>
      <c r="I63" s="60">
        <v>1.6950000000000001</v>
      </c>
      <c r="J63" s="60">
        <v>0.56200000000000006</v>
      </c>
      <c r="K63" s="60">
        <v>1.754</v>
      </c>
      <c r="L63" s="52"/>
      <c r="M63" s="115">
        <f t="shared" ref="M63:M80" si="28">C63/H63</f>
        <v>3128.8451757666412</v>
      </c>
      <c r="N63" s="58"/>
      <c r="O63" s="61"/>
      <c r="P63" s="61"/>
      <c r="Q63" s="61"/>
      <c r="R63" s="61"/>
      <c r="S63" s="59"/>
      <c r="T63" s="55"/>
      <c r="U63" s="55"/>
      <c r="V63" s="55"/>
      <c r="W63" s="55"/>
    </row>
    <row r="64" spans="1:23">
      <c r="A64" s="138"/>
      <c r="B64" s="143" t="s">
        <v>234</v>
      </c>
      <c r="C64" s="57">
        <f t="shared" si="26"/>
        <v>4877.5200000000004</v>
      </c>
      <c r="D64" s="60">
        <v>4877.5200000000004</v>
      </c>
      <c r="E64" s="60"/>
      <c r="F64" s="60"/>
      <c r="G64" s="52"/>
      <c r="H64" s="57">
        <f t="shared" si="27"/>
        <v>1.38</v>
      </c>
      <c r="I64" s="60">
        <v>1.38</v>
      </c>
      <c r="J64" s="60"/>
      <c r="K64" s="60"/>
      <c r="L64" s="52"/>
      <c r="M64" s="115">
        <f t="shared" si="28"/>
        <v>3534.4347826086964</v>
      </c>
      <c r="N64" s="58"/>
      <c r="O64" s="61"/>
      <c r="P64" s="61"/>
      <c r="Q64" s="61"/>
      <c r="R64" s="61"/>
      <c r="S64" s="59"/>
      <c r="T64" s="59"/>
      <c r="U64" s="55"/>
      <c r="V64" s="55"/>
      <c r="W64" s="55"/>
    </row>
    <row r="65" spans="1:23">
      <c r="A65" s="138"/>
      <c r="B65" s="56" t="str">
        <f>B25</f>
        <v>ЗАО "ЭПК"</v>
      </c>
      <c r="C65" s="57">
        <f t="shared" si="26"/>
        <v>22972.664000000001</v>
      </c>
      <c r="D65" s="52">
        <v>104.00700000000001</v>
      </c>
      <c r="E65" s="52">
        <v>22860.469000000001</v>
      </c>
      <c r="F65" s="52">
        <v>8.1880000000000006</v>
      </c>
      <c r="G65" s="52"/>
      <c r="H65" s="57">
        <f t="shared" si="27"/>
        <v>7.6520000000000001</v>
      </c>
      <c r="I65" s="52">
        <v>0.03</v>
      </c>
      <c r="J65" s="52">
        <v>7.62</v>
      </c>
      <c r="K65" s="52">
        <v>2E-3</v>
      </c>
      <c r="L65" s="52"/>
      <c r="M65" s="115">
        <f t="shared" si="28"/>
        <v>3002.1777313120751</v>
      </c>
      <c r="N65" s="58"/>
      <c r="O65" s="61"/>
      <c r="P65" s="61"/>
      <c r="Q65" s="61"/>
      <c r="R65" s="61"/>
      <c r="S65" s="59"/>
      <c r="T65" s="55"/>
      <c r="U65" s="55"/>
      <c r="V65" s="55"/>
      <c r="W65" s="55"/>
    </row>
    <row r="66" spans="1:23" s="24" customFormat="1">
      <c r="A66" s="138" t="s">
        <v>92</v>
      </c>
      <c r="B66" s="142" t="s">
        <v>93</v>
      </c>
      <c r="C66" s="57">
        <f>D66+E66+F66</f>
        <v>233704.72899999999</v>
      </c>
      <c r="D66" s="57">
        <f>SUM(D67:D72)</f>
        <v>87077.661000000007</v>
      </c>
      <c r="E66" s="57">
        <f>SUM(E67:E72)</f>
        <v>135270.16500000001</v>
      </c>
      <c r="F66" s="57">
        <f>SUM(F67:F72)</f>
        <v>11356.903</v>
      </c>
      <c r="G66" s="57"/>
      <c r="H66" s="57">
        <f>I66+J66+K66</f>
        <v>58.849000000000004</v>
      </c>
      <c r="I66" s="57">
        <f>SUM(I67:I72)</f>
        <v>22.606999999999999</v>
      </c>
      <c r="J66" s="57">
        <f>SUM(J67:J72)</f>
        <v>33.167000000000002</v>
      </c>
      <c r="K66" s="57">
        <f>SUM(K67:K72)</f>
        <v>3.0749999999999997</v>
      </c>
      <c r="L66" s="57"/>
      <c r="M66" s="115">
        <f t="shared" si="28"/>
        <v>3971.2608370575535</v>
      </c>
      <c r="N66" s="58"/>
      <c r="O66" s="116"/>
      <c r="P66" s="116"/>
      <c r="Q66" s="116"/>
      <c r="R66" s="116"/>
      <c r="S66" s="116"/>
      <c r="T66" s="116"/>
      <c r="U66" s="116"/>
      <c r="V66" s="116"/>
      <c r="W66" s="116"/>
    </row>
    <row r="67" spans="1:23" s="24" customFormat="1">
      <c r="A67" s="138"/>
      <c r="B67" s="143" t="s">
        <v>232</v>
      </c>
      <c r="C67" s="57">
        <f>D67+F67+E67</f>
        <v>21472.86</v>
      </c>
      <c r="D67" s="52">
        <v>16173.563</v>
      </c>
      <c r="E67" s="52"/>
      <c r="F67" s="52">
        <v>5299.2969999999996</v>
      </c>
      <c r="G67" s="52"/>
      <c r="H67" s="57">
        <f t="shared" ref="H67:H79" si="29">I67+J67+K67</f>
        <v>5.7439999999999998</v>
      </c>
      <c r="I67" s="60">
        <v>4.3339999999999996</v>
      </c>
      <c r="J67" s="60"/>
      <c r="K67" s="60">
        <v>1.41</v>
      </c>
      <c r="L67" s="52"/>
      <c r="M67" s="115">
        <f t="shared" si="28"/>
        <v>3738.3112813370476</v>
      </c>
      <c r="N67" s="58"/>
      <c r="O67" s="116"/>
      <c r="P67" s="116"/>
      <c r="Q67" s="116"/>
      <c r="R67" s="116"/>
      <c r="S67" s="116"/>
      <c r="T67" s="116"/>
      <c r="U67" s="116"/>
      <c r="V67" s="116"/>
      <c r="W67" s="116"/>
    </row>
    <row r="68" spans="1:23" ht="14.25" customHeight="1">
      <c r="A68" s="138"/>
      <c r="B68" s="143" t="s">
        <v>233</v>
      </c>
      <c r="C68" s="57">
        <f t="shared" ref="C68:C69" si="30">D68+F68+E68</f>
        <v>14110.771000000001</v>
      </c>
      <c r="D68" s="52">
        <v>14110.771000000001</v>
      </c>
      <c r="E68" s="52"/>
      <c r="F68" s="52"/>
      <c r="G68" s="52"/>
      <c r="H68" s="57">
        <f t="shared" ref="H68:H72" si="31">I68+J68+K68</f>
        <v>3.2970000000000002</v>
      </c>
      <c r="I68" s="52">
        <v>3.2970000000000002</v>
      </c>
      <c r="J68" s="52"/>
      <c r="K68" s="52"/>
      <c r="L68" s="52"/>
      <c r="M68" s="115">
        <f t="shared" si="28"/>
        <v>4279.8820139520776</v>
      </c>
      <c r="N68" s="58"/>
      <c r="O68" s="61"/>
      <c r="P68" s="61"/>
      <c r="Q68" s="61"/>
      <c r="R68" s="61"/>
      <c r="S68" s="59"/>
      <c r="T68" s="59"/>
      <c r="U68" s="59"/>
      <c r="V68" s="59"/>
      <c r="W68" s="55"/>
    </row>
    <row r="69" spans="1:23" ht="14.25" customHeight="1">
      <c r="A69" s="138"/>
      <c r="B69" s="164" t="s">
        <v>259</v>
      </c>
      <c r="C69" s="57">
        <f t="shared" si="30"/>
        <v>173817.21600000001</v>
      </c>
      <c r="D69" s="52">
        <v>38473.781999999999</v>
      </c>
      <c r="E69" s="52">
        <v>131710.99900000001</v>
      </c>
      <c r="F69" s="52">
        <v>3632.4349999999999</v>
      </c>
      <c r="G69" s="52"/>
      <c r="H69" s="57">
        <f t="shared" si="31"/>
        <v>42.873999999999995</v>
      </c>
      <c r="I69" s="52">
        <v>9.7449999999999992</v>
      </c>
      <c r="J69" s="52">
        <v>32.225999999999999</v>
      </c>
      <c r="K69" s="52">
        <v>0.90300000000000002</v>
      </c>
      <c r="L69" s="52"/>
      <c r="M69" s="115">
        <f t="shared" si="28"/>
        <v>4054.1404114381685</v>
      </c>
      <c r="N69" s="58"/>
      <c r="O69" s="61"/>
      <c r="P69" s="61"/>
      <c r="Q69" s="61"/>
      <c r="R69" s="61"/>
      <c r="S69" s="59"/>
      <c r="T69" s="59"/>
      <c r="U69" s="59"/>
      <c r="V69" s="59"/>
      <c r="W69" s="55"/>
    </row>
    <row r="70" spans="1:23" ht="14.25" customHeight="1">
      <c r="A70" s="138"/>
      <c r="B70" s="164" t="s">
        <v>273</v>
      </c>
      <c r="C70" s="57">
        <f t="shared" ref="C70" si="32">D70+F70+E70</f>
        <v>11252.308999999999</v>
      </c>
      <c r="D70" s="52">
        <v>11252.308999999999</v>
      </c>
      <c r="E70" s="52"/>
      <c r="F70" s="52"/>
      <c r="G70" s="52"/>
      <c r="H70" s="57">
        <f t="shared" ref="H70:H71" si="33">I70+J70+K70</f>
        <v>3.1280000000000001</v>
      </c>
      <c r="I70" s="52">
        <v>3.1280000000000001</v>
      </c>
      <c r="J70" s="52"/>
      <c r="K70" s="52"/>
      <c r="L70" s="52"/>
      <c r="M70" s="115">
        <f t="shared" ref="M70:M71" si="34">C70/H70</f>
        <v>3597.2854859335034</v>
      </c>
      <c r="N70" s="58"/>
      <c r="O70" s="61"/>
      <c r="P70" s="61"/>
      <c r="Q70" s="61"/>
      <c r="R70" s="61"/>
      <c r="S70" s="59"/>
      <c r="T70" s="59"/>
      <c r="U70" s="59"/>
      <c r="V70" s="59"/>
      <c r="W70" s="55"/>
    </row>
    <row r="71" spans="1:23">
      <c r="A71" s="138"/>
      <c r="B71" s="56" t="str">
        <f>B31</f>
        <v>АО "ЭПК"</v>
      </c>
      <c r="C71" s="57">
        <f t="shared" ref="C71" si="35">D71+E71+F71</f>
        <v>3476.643</v>
      </c>
      <c r="D71" s="52">
        <v>340.262</v>
      </c>
      <c r="E71" s="52">
        <v>3136.3809999999999</v>
      </c>
      <c r="F71" s="52"/>
      <c r="G71" s="52"/>
      <c r="H71" s="57">
        <f t="shared" si="33"/>
        <v>1.0529999999999999</v>
      </c>
      <c r="I71" s="52">
        <v>0.21</v>
      </c>
      <c r="J71" s="52">
        <v>0.84299999999999997</v>
      </c>
      <c r="K71" s="52"/>
      <c r="L71" s="52"/>
      <c r="M71" s="115">
        <f t="shared" si="34"/>
        <v>3301.6552706552707</v>
      </c>
      <c r="N71" s="58"/>
      <c r="O71" s="61"/>
      <c r="P71" s="61"/>
      <c r="Q71" s="61"/>
      <c r="R71" s="61"/>
      <c r="S71" s="59"/>
      <c r="T71" s="55"/>
      <c r="U71" s="55"/>
      <c r="V71" s="55"/>
      <c r="W71" s="55"/>
    </row>
    <row r="72" spans="1:23" ht="14.25" customHeight="1">
      <c r="A72" s="138"/>
      <c r="B72" s="143" t="s">
        <v>260</v>
      </c>
      <c r="C72" s="57">
        <f>D72+F72+E72</f>
        <v>9574.93</v>
      </c>
      <c r="D72" s="52">
        <v>6726.9740000000002</v>
      </c>
      <c r="E72" s="52">
        <v>422.78500000000003</v>
      </c>
      <c r="F72" s="52">
        <v>2425.1709999999998</v>
      </c>
      <c r="G72" s="52"/>
      <c r="H72" s="57">
        <f t="shared" si="31"/>
        <v>2.7530000000000001</v>
      </c>
      <c r="I72" s="60">
        <v>1.893</v>
      </c>
      <c r="J72" s="60">
        <v>9.8000000000000004E-2</v>
      </c>
      <c r="K72" s="60">
        <v>0.76200000000000001</v>
      </c>
      <c r="L72" s="52"/>
      <c r="M72" s="115">
        <f t="shared" si="28"/>
        <v>3477.9985470395932</v>
      </c>
      <c r="N72" s="58"/>
      <c r="O72" s="61"/>
      <c r="P72" s="61"/>
      <c r="Q72" s="61"/>
      <c r="R72" s="61"/>
      <c r="S72" s="59"/>
      <c r="T72" s="59"/>
      <c r="U72" s="59"/>
      <c r="V72" s="59"/>
      <c r="W72" s="55"/>
    </row>
    <row r="73" spans="1:23">
      <c r="A73" s="144" t="s">
        <v>94</v>
      </c>
      <c r="B73" s="145" t="s">
        <v>95</v>
      </c>
      <c r="C73" s="57">
        <f>D73+E73+F73</f>
        <v>36041.976000000002</v>
      </c>
      <c r="D73" s="57">
        <f>SUM(D74:D79)</f>
        <v>6316.634</v>
      </c>
      <c r="E73" s="57">
        <f>SUM(E74:E79)</f>
        <v>29503.492999999999</v>
      </c>
      <c r="F73" s="57">
        <f>SUM(F74:F79)</f>
        <v>221.84899999999999</v>
      </c>
      <c r="G73" s="57"/>
      <c r="H73" s="57">
        <f t="shared" si="29"/>
        <v>10.383000000000001</v>
      </c>
      <c r="I73" s="57">
        <f>SUM(I74:I79)</f>
        <v>2.153</v>
      </c>
      <c r="J73" s="57">
        <f>SUM(J74:J79)</f>
        <v>8.1769999999999996</v>
      </c>
      <c r="K73" s="57">
        <f>SUM(K74:K79)</f>
        <v>5.3000000000000005E-2</v>
      </c>
      <c r="L73" s="57"/>
      <c r="M73" s="115">
        <f t="shared" si="28"/>
        <v>3471.2487720312047</v>
      </c>
      <c r="N73" s="58"/>
      <c r="O73" s="116"/>
      <c r="P73" s="116"/>
      <c r="Q73" s="116"/>
      <c r="R73" s="116"/>
      <c r="S73" s="116"/>
      <c r="T73" s="116"/>
      <c r="U73" s="116"/>
      <c r="V73" s="116"/>
      <c r="W73" s="116"/>
    </row>
    <row r="74" spans="1:23">
      <c r="A74" s="138"/>
      <c r="B74" s="143" t="s">
        <v>279</v>
      </c>
      <c r="C74" s="57">
        <f>D74+E74+F74</f>
        <v>79.283000000000001</v>
      </c>
      <c r="D74" s="52"/>
      <c r="E74" s="52"/>
      <c r="F74" s="52">
        <v>79.283000000000001</v>
      </c>
      <c r="G74" s="52"/>
      <c r="H74" s="57">
        <f t="shared" si="29"/>
        <v>1.9E-2</v>
      </c>
      <c r="I74" s="52"/>
      <c r="J74" s="52"/>
      <c r="K74" s="52">
        <v>1.9E-2</v>
      </c>
      <c r="L74" s="52"/>
      <c r="M74" s="115">
        <f t="shared" si="28"/>
        <v>4172.7894736842109</v>
      </c>
      <c r="N74" s="58"/>
      <c r="O74" s="53"/>
      <c r="P74" s="53"/>
      <c r="Q74" s="53"/>
      <c r="R74" s="53"/>
      <c r="S74" s="59"/>
      <c r="T74" s="55"/>
      <c r="U74" s="55"/>
      <c r="V74" s="55"/>
      <c r="W74" s="55"/>
    </row>
    <row r="75" spans="1:23">
      <c r="A75" s="138"/>
      <c r="B75" s="143" t="s">
        <v>274</v>
      </c>
      <c r="C75" s="57">
        <f>D75+E75+F75</f>
        <v>142.566</v>
      </c>
      <c r="D75" s="52"/>
      <c r="E75" s="52"/>
      <c r="F75" s="52">
        <v>142.566</v>
      </c>
      <c r="G75" s="52"/>
      <c r="H75" s="57">
        <f t="shared" ref="H75" si="36">I75+J75+K75</f>
        <v>3.4000000000000002E-2</v>
      </c>
      <c r="I75" s="52"/>
      <c r="J75" s="52"/>
      <c r="K75" s="52">
        <v>3.4000000000000002E-2</v>
      </c>
      <c r="L75" s="52"/>
      <c r="M75" s="115">
        <f t="shared" ref="M75" si="37">C75/H75</f>
        <v>4193.1176470588234</v>
      </c>
      <c r="N75" s="58"/>
      <c r="O75" s="53"/>
      <c r="P75" s="53"/>
      <c r="Q75" s="53"/>
      <c r="R75" s="53"/>
      <c r="S75" s="59"/>
      <c r="T75" s="55"/>
      <c r="U75" s="55"/>
      <c r="V75" s="55"/>
      <c r="W75" s="55"/>
    </row>
    <row r="76" spans="1:23">
      <c r="A76" s="138"/>
      <c r="B76" s="143" t="s">
        <v>256</v>
      </c>
      <c r="C76" s="57">
        <f t="shared" ref="C76:C78" si="38">D76+E76+F76</f>
        <v>29443.8</v>
      </c>
      <c r="D76" s="52"/>
      <c r="E76" s="52">
        <v>29443.8</v>
      </c>
      <c r="F76" s="52"/>
      <c r="G76" s="52"/>
      <c r="H76" s="57">
        <f t="shared" si="29"/>
        <v>8.16</v>
      </c>
      <c r="I76" s="52"/>
      <c r="J76" s="52">
        <v>8.16</v>
      </c>
      <c r="K76" s="52"/>
      <c r="L76" s="52"/>
      <c r="M76" s="115">
        <f t="shared" si="28"/>
        <v>3608.3088235294117</v>
      </c>
      <c r="N76" s="58"/>
      <c r="O76" s="53"/>
      <c r="P76" s="53"/>
      <c r="Q76" s="53"/>
      <c r="R76" s="53"/>
      <c r="S76" s="59"/>
      <c r="T76" s="55"/>
      <c r="U76" s="55"/>
      <c r="V76" s="55"/>
      <c r="W76" s="55"/>
    </row>
    <row r="77" spans="1:23">
      <c r="A77" s="138"/>
      <c r="B77" s="143" t="s">
        <v>258</v>
      </c>
      <c r="C77" s="57">
        <f t="shared" ref="C77" si="39">D77+E77+F77</f>
        <v>6316.634</v>
      </c>
      <c r="D77" s="52">
        <v>6316.634</v>
      </c>
      <c r="E77" s="52"/>
      <c r="F77" s="52"/>
      <c r="G77" s="52"/>
      <c r="H77" s="57">
        <f t="shared" ref="H77" si="40">I77+J77+K77</f>
        <v>2.153</v>
      </c>
      <c r="I77" s="52">
        <v>2.153</v>
      </c>
      <c r="J77" s="52"/>
      <c r="K77" s="52"/>
      <c r="L77" s="52"/>
      <c r="M77" s="115">
        <f t="shared" ref="M77" si="41">C77/H77</f>
        <v>2933.8755225267068</v>
      </c>
      <c r="N77" s="58"/>
      <c r="O77" s="53"/>
      <c r="P77" s="53"/>
      <c r="Q77" s="53"/>
      <c r="R77" s="53"/>
      <c r="S77" s="59"/>
      <c r="T77" s="55"/>
      <c r="U77" s="55"/>
      <c r="V77" s="55"/>
      <c r="W77" s="55"/>
    </row>
    <row r="78" spans="1:23">
      <c r="A78" s="138"/>
      <c r="B78" s="143" t="s">
        <v>235</v>
      </c>
      <c r="C78" s="57">
        <f t="shared" si="38"/>
        <v>59.692999999999998</v>
      </c>
      <c r="D78" s="52"/>
      <c r="E78" s="52">
        <v>59.692999999999998</v>
      </c>
      <c r="F78" s="52"/>
      <c r="G78" s="52"/>
      <c r="H78" s="57">
        <f t="shared" si="29"/>
        <v>1.7000000000000001E-2</v>
      </c>
      <c r="I78" s="52"/>
      <c r="J78" s="52">
        <v>1.7000000000000001E-2</v>
      </c>
      <c r="K78" s="52"/>
      <c r="L78" s="52"/>
      <c r="M78" s="115">
        <f t="shared" si="28"/>
        <v>3511.3529411764703</v>
      </c>
      <c r="N78" s="58"/>
      <c r="O78" s="53"/>
      <c r="P78" s="53"/>
      <c r="Q78" s="53"/>
      <c r="R78" s="53"/>
      <c r="S78" s="59"/>
      <c r="T78" s="55"/>
      <c r="U78" s="55"/>
      <c r="V78" s="55"/>
      <c r="W78" s="55"/>
    </row>
    <row r="79" spans="1:23" hidden="1">
      <c r="A79" s="138"/>
      <c r="B79" s="143"/>
      <c r="C79" s="57">
        <f>D79+E79+F79</f>
        <v>0</v>
      </c>
      <c r="D79" s="52"/>
      <c r="E79" s="52"/>
      <c r="F79" s="52"/>
      <c r="G79" s="52"/>
      <c r="H79" s="57">
        <f t="shared" si="29"/>
        <v>0</v>
      </c>
      <c r="I79" s="52"/>
      <c r="J79" s="52"/>
      <c r="K79" s="52"/>
      <c r="L79" s="52"/>
      <c r="M79" s="115">
        <v>0</v>
      </c>
      <c r="N79" s="58"/>
      <c r="O79" s="53"/>
      <c r="P79" s="53"/>
      <c r="Q79" s="53"/>
      <c r="R79" s="53"/>
      <c r="S79" s="59"/>
      <c r="T79" s="55"/>
      <c r="U79" s="59"/>
      <c r="V79" s="55"/>
      <c r="W79" s="55"/>
    </row>
    <row r="80" spans="1:23" s="24" customFormat="1">
      <c r="A80" s="144" t="s">
        <v>96</v>
      </c>
      <c r="B80" s="140" t="s">
        <v>97</v>
      </c>
      <c r="C80" s="57">
        <f>C73+C57+C49</f>
        <v>311088.86800000002</v>
      </c>
      <c r="D80" s="57">
        <f>D73+D57+D49</f>
        <v>103912.45600000001</v>
      </c>
      <c r="E80" s="57">
        <f>E73+E57+E49</f>
        <v>189519.611</v>
      </c>
      <c r="F80" s="57">
        <f>F73+F57+F49</f>
        <v>17656.800999999999</v>
      </c>
      <c r="G80" s="57">
        <f>G73+G57+G49</f>
        <v>0</v>
      </c>
      <c r="H80" s="57">
        <f>H73+H57+H49</f>
        <v>82.539000000000001</v>
      </c>
      <c r="I80" s="57">
        <f>I73+I57+I49</f>
        <v>27.901</v>
      </c>
      <c r="J80" s="57">
        <f>J73+J57+J49</f>
        <v>49.526000000000003</v>
      </c>
      <c r="K80" s="57">
        <f>K73+K57+K49</f>
        <v>5.1119999999999992</v>
      </c>
      <c r="L80" s="57"/>
      <c r="M80" s="115">
        <f t="shared" si="28"/>
        <v>3768.9924520529689</v>
      </c>
      <c r="N80" s="58"/>
      <c r="O80" s="116"/>
      <c r="P80" s="116"/>
      <c r="Q80" s="116"/>
      <c r="R80" s="116"/>
      <c r="S80" s="116"/>
      <c r="T80" s="116"/>
      <c r="U80" s="116"/>
      <c r="V80" s="116"/>
      <c r="W80" s="116"/>
    </row>
    <row r="81" spans="1:23">
      <c r="C81" s="162"/>
      <c r="D81" s="162"/>
      <c r="E81" s="162"/>
      <c r="F81" s="162"/>
      <c r="H81" s="162"/>
      <c r="I81" s="162"/>
      <c r="J81" s="162"/>
      <c r="K81" s="162"/>
    </row>
    <row r="82" spans="1:23">
      <c r="C82" s="162"/>
      <c r="D82" s="162"/>
      <c r="E82" s="162"/>
      <c r="F82" s="162"/>
    </row>
    <row r="84" spans="1:23" s="24" customFormat="1" ht="25.5" customHeight="1">
      <c r="A84" s="202" t="s">
        <v>70</v>
      </c>
      <c r="B84" s="202" t="s">
        <v>14</v>
      </c>
      <c r="C84" s="203" t="s">
        <v>71</v>
      </c>
      <c r="D84" s="203"/>
      <c r="E84" s="203"/>
      <c r="F84" s="203"/>
      <c r="G84" s="203"/>
      <c r="H84" s="206" t="s">
        <v>72</v>
      </c>
      <c r="I84" s="206"/>
      <c r="J84" s="206"/>
      <c r="K84" s="206"/>
      <c r="L84" s="206"/>
      <c r="M84" s="207" t="s">
        <v>73</v>
      </c>
      <c r="N84" s="208" t="s">
        <v>74</v>
      </c>
      <c r="O84" s="209"/>
      <c r="P84" s="209"/>
      <c r="Q84" s="209"/>
      <c r="R84" s="210"/>
      <c r="S84" s="211" t="s">
        <v>75</v>
      </c>
      <c r="T84" s="211"/>
      <c r="U84" s="211"/>
      <c r="V84" s="211"/>
      <c r="W84" s="211"/>
    </row>
    <row r="85" spans="1:23" s="24" customFormat="1" ht="18" customHeight="1">
      <c r="A85" s="202"/>
      <c r="B85" s="202"/>
      <c r="C85" s="47" t="s">
        <v>76</v>
      </c>
      <c r="D85" s="47" t="s">
        <v>6</v>
      </c>
      <c r="E85" s="47" t="s">
        <v>7</v>
      </c>
      <c r="F85" s="47" t="s">
        <v>77</v>
      </c>
      <c r="G85" s="47" t="s">
        <v>9</v>
      </c>
      <c r="H85" s="47" t="s">
        <v>76</v>
      </c>
      <c r="I85" s="47" t="s">
        <v>6</v>
      </c>
      <c r="J85" s="47" t="s">
        <v>7</v>
      </c>
      <c r="K85" s="47" t="s">
        <v>77</v>
      </c>
      <c r="L85" s="47" t="s">
        <v>9</v>
      </c>
      <c r="M85" s="207"/>
      <c r="N85" s="26" t="s">
        <v>76</v>
      </c>
      <c r="O85" s="48" t="s">
        <v>6</v>
      </c>
      <c r="P85" s="48" t="s">
        <v>7</v>
      </c>
      <c r="Q85" s="48" t="s">
        <v>77</v>
      </c>
      <c r="R85" s="48" t="s">
        <v>9</v>
      </c>
      <c r="S85" s="26" t="s">
        <v>76</v>
      </c>
      <c r="T85" s="26" t="s">
        <v>6</v>
      </c>
      <c r="U85" s="26" t="s">
        <v>7</v>
      </c>
      <c r="V85" s="26" t="s">
        <v>77</v>
      </c>
      <c r="W85" s="26" t="s">
        <v>9</v>
      </c>
    </row>
    <row r="86" spans="1:23" s="51" customFormat="1" ht="13.5" customHeight="1">
      <c r="A86" s="49">
        <v>1</v>
      </c>
      <c r="B86" s="50">
        <f t="shared" ref="B86" si="42">+A86+1</f>
        <v>2</v>
      </c>
      <c r="C86" s="50">
        <f>+B86+1</f>
        <v>3</v>
      </c>
      <c r="D86" s="50">
        <f t="shared" ref="D86:W86" si="43">+C86+1</f>
        <v>4</v>
      </c>
      <c r="E86" s="50">
        <f t="shared" si="43"/>
        <v>5</v>
      </c>
      <c r="F86" s="50">
        <f t="shared" si="43"/>
        <v>6</v>
      </c>
      <c r="G86" s="50">
        <f t="shared" si="43"/>
        <v>7</v>
      </c>
      <c r="H86" s="50">
        <f t="shared" si="43"/>
        <v>8</v>
      </c>
      <c r="I86" s="50">
        <f t="shared" si="43"/>
        <v>9</v>
      </c>
      <c r="J86" s="50">
        <f t="shared" si="43"/>
        <v>10</v>
      </c>
      <c r="K86" s="50">
        <f t="shared" si="43"/>
        <v>11</v>
      </c>
      <c r="L86" s="50">
        <f t="shared" si="43"/>
        <v>12</v>
      </c>
      <c r="M86" s="50">
        <f t="shared" si="43"/>
        <v>13</v>
      </c>
      <c r="N86" s="50">
        <f t="shared" si="43"/>
        <v>14</v>
      </c>
      <c r="O86" s="50">
        <f t="shared" si="43"/>
        <v>15</v>
      </c>
      <c r="P86" s="50">
        <f t="shared" si="43"/>
        <v>16</v>
      </c>
      <c r="Q86" s="50">
        <f t="shared" si="43"/>
        <v>17</v>
      </c>
      <c r="R86" s="50">
        <f t="shared" si="43"/>
        <v>18</v>
      </c>
      <c r="S86" s="50">
        <f t="shared" si="43"/>
        <v>19</v>
      </c>
      <c r="T86" s="50">
        <f t="shared" si="43"/>
        <v>20</v>
      </c>
      <c r="U86" s="50">
        <f t="shared" si="43"/>
        <v>21</v>
      </c>
      <c r="V86" s="50">
        <f t="shared" si="43"/>
        <v>22</v>
      </c>
      <c r="W86" s="50">
        <f t="shared" si="43"/>
        <v>23</v>
      </c>
    </row>
    <row r="87" spans="1:23" ht="15" customHeight="1">
      <c r="A87" s="199" t="str">
        <f>'П1.5'!N4</f>
        <v>ФАКТ 2022 год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1"/>
    </row>
    <row r="88" spans="1:23" s="24" customFormat="1">
      <c r="A88" s="136">
        <v>1</v>
      </c>
      <c r="B88" s="137" t="s">
        <v>16</v>
      </c>
      <c r="C88" s="57">
        <f>SUM(D88:F88)</f>
        <v>1902.4560000000001</v>
      </c>
      <c r="D88" s="57">
        <f>D90+D91</f>
        <v>250.036</v>
      </c>
      <c r="E88" s="57">
        <f>SUM(E90:E94)</f>
        <v>0</v>
      </c>
      <c r="F88" s="57">
        <f>F91+F92+F95+F90</f>
        <v>1652.42</v>
      </c>
      <c r="G88" s="57"/>
      <c r="H88" s="57">
        <f>SUM(I88:K88)</f>
        <v>0.26650000000000001</v>
      </c>
      <c r="I88" s="57">
        <f>I90+I91</f>
        <v>3.4999999999999996E-2</v>
      </c>
      <c r="J88" s="57">
        <f>SUM(J89:J93)</f>
        <v>0</v>
      </c>
      <c r="K88" s="57">
        <f>K91+K92+K95+K90</f>
        <v>0.23150000000000001</v>
      </c>
      <c r="L88" s="57"/>
      <c r="M88" s="115">
        <f>C88/H88</f>
        <v>7138.6716697936208</v>
      </c>
      <c r="N88" s="58"/>
      <c r="O88" s="116"/>
      <c r="P88" s="116"/>
      <c r="Q88" s="116"/>
      <c r="R88" s="116"/>
      <c r="S88" s="116"/>
      <c r="T88" s="116"/>
      <c r="U88" s="116"/>
      <c r="V88" s="116"/>
      <c r="W88" s="116"/>
    </row>
    <row r="89" spans="1:23">
      <c r="A89" s="138" t="s">
        <v>25</v>
      </c>
      <c r="B89" s="139" t="s">
        <v>17</v>
      </c>
      <c r="C89" s="57"/>
      <c r="D89" s="52"/>
      <c r="E89" s="52"/>
      <c r="F89" s="52"/>
      <c r="G89" s="52"/>
      <c r="H89" s="57"/>
      <c r="I89" s="52"/>
      <c r="J89" s="52"/>
      <c r="K89" s="52"/>
      <c r="L89" s="52"/>
      <c r="M89" s="115"/>
      <c r="N89" s="58"/>
      <c r="O89" s="53"/>
      <c r="P89" s="53"/>
      <c r="Q89" s="53"/>
      <c r="R89" s="53"/>
      <c r="S89" s="54"/>
      <c r="T89" s="55"/>
      <c r="U89" s="55"/>
      <c r="V89" s="55"/>
      <c r="W89" s="55"/>
    </row>
    <row r="90" spans="1:23" s="24" customFormat="1" ht="13.5" customHeight="1">
      <c r="A90" s="138" t="s">
        <v>78</v>
      </c>
      <c r="B90" s="139" t="s">
        <v>79</v>
      </c>
      <c r="C90" s="57">
        <f>D90+F90</f>
        <v>151.44999999999999</v>
      </c>
      <c r="D90" s="52"/>
      <c r="E90" s="52"/>
      <c r="F90" s="52">
        <f>F51+F11</f>
        <v>151.44999999999999</v>
      </c>
      <c r="G90" s="52"/>
      <c r="H90" s="57">
        <f>I90+K90</f>
        <v>2.1500000000000002E-2</v>
      </c>
      <c r="I90" s="52"/>
      <c r="J90" s="52"/>
      <c r="K90" s="60">
        <f>(K11*6+K51*6)/12</f>
        <v>2.1500000000000002E-2</v>
      </c>
      <c r="L90" s="52"/>
      <c r="M90" s="115">
        <f t="shared" ref="M90:M91" si="44">C90/H90</f>
        <v>7044.186046511627</v>
      </c>
      <c r="N90" s="58"/>
      <c r="O90" s="53"/>
      <c r="P90" s="53"/>
      <c r="Q90" s="53"/>
      <c r="R90" s="53"/>
      <c r="S90" s="54"/>
      <c r="T90" s="55"/>
      <c r="U90" s="55"/>
      <c r="V90" s="55"/>
      <c r="W90" s="55"/>
    </row>
    <row r="91" spans="1:23" s="24" customFormat="1">
      <c r="A91" s="138" t="s">
        <v>80</v>
      </c>
      <c r="B91" s="139" t="s">
        <v>81</v>
      </c>
      <c r="C91" s="57">
        <f>D91+F91+E91</f>
        <v>1721.5160000000001</v>
      </c>
      <c r="D91" s="52">
        <f>D52+D12</f>
        <v>250.036</v>
      </c>
      <c r="E91" s="52"/>
      <c r="F91" s="52">
        <f>F52+F12</f>
        <v>1471.48</v>
      </c>
      <c r="G91" s="52"/>
      <c r="H91" s="57">
        <f>SUM(I91:K91)</f>
        <v>0.24050000000000002</v>
      </c>
      <c r="I91" s="60">
        <f>(I12*6+I52*6)/12</f>
        <v>3.4999999999999996E-2</v>
      </c>
      <c r="J91" s="60">
        <f>(J12*6+J52*6)/12</f>
        <v>0</v>
      </c>
      <c r="K91" s="60">
        <f>(K12*6+K52*6)/12</f>
        <v>0.20550000000000002</v>
      </c>
      <c r="L91" s="52"/>
      <c r="M91" s="115">
        <f t="shared" si="44"/>
        <v>7158.070686070686</v>
      </c>
      <c r="N91" s="58"/>
      <c r="O91" s="53"/>
      <c r="P91" s="53"/>
      <c r="Q91" s="53"/>
      <c r="R91" s="53"/>
      <c r="S91" s="54"/>
      <c r="T91" s="55"/>
      <c r="U91" s="55"/>
      <c r="V91" s="55"/>
      <c r="W91" s="55"/>
    </row>
    <row r="92" spans="1:23" s="24" customFormat="1">
      <c r="A92" s="138" t="s">
        <v>82</v>
      </c>
      <c r="B92" s="139" t="s">
        <v>83</v>
      </c>
      <c r="C92" s="57">
        <f>SUM(D92:F92)</f>
        <v>0</v>
      </c>
      <c r="D92" s="52"/>
      <c r="E92" s="52"/>
      <c r="F92" s="52"/>
      <c r="G92" s="52"/>
      <c r="H92" s="57">
        <f>I92+K92</f>
        <v>0</v>
      </c>
      <c r="I92" s="52"/>
      <c r="J92" s="52"/>
      <c r="K92" s="52"/>
      <c r="L92" s="52"/>
      <c r="M92" s="115"/>
      <c r="N92" s="58"/>
      <c r="O92" s="53"/>
      <c r="P92" s="53"/>
      <c r="Q92" s="53"/>
      <c r="R92" s="53"/>
      <c r="S92" s="54"/>
      <c r="T92" s="55"/>
      <c r="U92" s="55"/>
      <c r="V92" s="55"/>
      <c r="W92" s="55"/>
    </row>
    <row r="93" spans="1:23" s="24" customFormat="1">
      <c r="A93" s="138" t="s">
        <v>26</v>
      </c>
      <c r="B93" s="139" t="s">
        <v>18</v>
      </c>
      <c r="C93" s="57"/>
      <c r="D93" s="52"/>
      <c r="E93" s="52"/>
      <c r="F93" s="52"/>
      <c r="G93" s="52"/>
      <c r="H93" s="57"/>
      <c r="I93" s="52"/>
      <c r="J93" s="52"/>
      <c r="K93" s="52"/>
      <c r="L93" s="52"/>
      <c r="M93" s="115"/>
      <c r="N93" s="58"/>
      <c r="O93" s="53"/>
      <c r="P93" s="53"/>
      <c r="Q93" s="53"/>
      <c r="R93" s="53"/>
      <c r="S93" s="54"/>
      <c r="T93" s="55"/>
      <c r="U93" s="55"/>
      <c r="V93" s="55"/>
      <c r="W93" s="55"/>
    </row>
    <row r="94" spans="1:23" s="24" customFormat="1">
      <c r="A94" s="138" t="s">
        <v>84</v>
      </c>
      <c r="B94" s="139" t="s">
        <v>79</v>
      </c>
      <c r="C94" s="57"/>
      <c r="D94" s="52"/>
      <c r="E94" s="52"/>
      <c r="F94" s="52"/>
      <c r="G94" s="52"/>
      <c r="H94" s="57"/>
      <c r="I94" s="52"/>
      <c r="J94" s="52"/>
      <c r="K94" s="52"/>
      <c r="L94" s="52"/>
      <c r="M94" s="115"/>
      <c r="N94" s="58"/>
      <c r="O94" s="53"/>
      <c r="P94" s="53"/>
      <c r="Q94" s="53"/>
      <c r="R94" s="53"/>
      <c r="S94" s="54"/>
      <c r="T94" s="55"/>
      <c r="U94" s="55"/>
      <c r="V94" s="55"/>
      <c r="W94" s="55"/>
    </row>
    <row r="95" spans="1:23" s="24" customFormat="1">
      <c r="A95" s="138" t="s">
        <v>85</v>
      </c>
      <c r="B95" s="139" t="s">
        <v>86</v>
      </c>
      <c r="C95" s="57">
        <f>D95+F95</f>
        <v>29.490000000000002</v>
      </c>
      <c r="D95" s="52"/>
      <c r="E95" s="52"/>
      <c r="F95" s="52">
        <f>F56+F16</f>
        <v>29.490000000000002</v>
      </c>
      <c r="G95" s="52"/>
      <c r="H95" s="57">
        <f>I95+K95</f>
        <v>4.4999999999999997E-3</v>
      </c>
      <c r="I95" s="52"/>
      <c r="J95" s="52"/>
      <c r="K95" s="60">
        <f>(K16*6+K56*6)/12</f>
        <v>4.4999999999999997E-3</v>
      </c>
      <c r="L95" s="52"/>
      <c r="M95" s="115">
        <f t="shared" ref="M95:M96" si="45">C95/H95</f>
        <v>6553.3333333333339</v>
      </c>
      <c r="N95" s="58"/>
      <c r="O95" s="116"/>
      <c r="P95" s="116"/>
      <c r="Q95" s="116"/>
      <c r="R95" s="116"/>
      <c r="S95" s="116"/>
      <c r="T95" s="116"/>
      <c r="U95" s="116"/>
      <c r="V95" s="116"/>
      <c r="W95" s="116"/>
    </row>
    <row r="96" spans="1:23" s="24" customFormat="1">
      <c r="A96" s="136" t="s">
        <v>19</v>
      </c>
      <c r="B96" s="140" t="s">
        <v>20</v>
      </c>
      <c r="C96" s="57">
        <f>C101+C105</f>
        <v>536745.82400000002</v>
      </c>
      <c r="D96" s="57">
        <f>D101+D105</f>
        <v>197507.31400000001</v>
      </c>
      <c r="E96" s="57">
        <f>E101+E105</f>
        <v>304500.93700000003</v>
      </c>
      <c r="F96" s="57">
        <f>F101+F105</f>
        <v>34737.572999999997</v>
      </c>
      <c r="G96" s="57"/>
      <c r="H96" s="57">
        <f>I96+J96+K96+0.001</f>
        <v>70.816000000000003</v>
      </c>
      <c r="I96" s="57">
        <f>I101+I105</f>
        <v>26.254999999999995</v>
      </c>
      <c r="J96" s="57">
        <f>J101+J105</f>
        <v>39.541499999999999</v>
      </c>
      <c r="K96" s="57">
        <f>K101+K105</f>
        <v>5.0185000000000004</v>
      </c>
      <c r="L96" s="57"/>
      <c r="M96" s="115">
        <f t="shared" si="45"/>
        <v>7579.4428377767736</v>
      </c>
      <c r="N96" s="58"/>
      <c r="O96" s="116"/>
      <c r="P96" s="116"/>
      <c r="Q96" s="116"/>
      <c r="R96" s="116"/>
      <c r="S96" s="116"/>
      <c r="T96" s="116"/>
      <c r="U96" s="116"/>
      <c r="V96" s="116"/>
      <c r="W96" s="116"/>
    </row>
    <row r="97" spans="1:23" s="24" customFormat="1">
      <c r="A97" s="138" t="s">
        <v>42</v>
      </c>
      <c r="B97" s="56" t="s">
        <v>87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115"/>
      <c r="N97" s="58"/>
      <c r="O97" s="116"/>
      <c r="P97" s="116"/>
      <c r="Q97" s="116"/>
      <c r="R97" s="116"/>
      <c r="S97" s="116"/>
      <c r="T97" s="116"/>
      <c r="U97" s="116"/>
      <c r="V97" s="116"/>
      <c r="W97" s="116"/>
    </row>
    <row r="98" spans="1:23">
      <c r="A98" s="141"/>
      <c r="B98" s="56" t="s">
        <v>88</v>
      </c>
      <c r="C98" s="57"/>
      <c r="D98" s="52"/>
      <c r="E98" s="52"/>
      <c r="F98" s="52"/>
      <c r="G98" s="52"/>
      <c r="H98" s="57"/>
      <c r="I98" s="52"/>
      <c r="J98" s="52"/>
      <c r="K98" s="52"/>
      <c r="L98" s="52"/>
      <c r="M98" s="115"/>
      <c r="N98" s="58"/>
      <c r="O98" s="53"/>
      <c r="P98" s="53"/>
      <c r="Q98" s="53"/>
      <c r="R98" s="53"/>
      <c r="S98" s="59"/>
      <c r="T98" s="55"/>
      <c r="U98" s="55"/>
      <c r="V98" s="55"/>
      <c r="W98" s="55"/>
    </row>
    <row r="99" spans="1:23">
      <c r="A99" s="141"/>
      <c r="B99" s="56" t="s">
        <v>89</v>
      </c>
      <c r="C99" s="57"/>
      <c r="D99" s="52"/>
      <c r="E99" s="52"/>
      <c r="F99" s="52"/>
      <c r="G99" s="52"/>
      <c r="H99" s="57"/>
      <c r="I99" s="52"/>
      <c r="J99" s="52"/>
      <c r="K99" s="52"/>
      <c r="L99" s="52"/>
      <c r="M99" s="115"/>
      <c r="N99" s="58"/>
      <c r="O99" s="53"/>
      <c r="P99" s="53"/>
      <c r="Q99" s="53"/>
      <c r="R99" s="53"/>
      <c r="S99" s="59"/>
      <c r="T99" s="55"/>
      <c r="U99" s="55"/>
      <c r="V99" s="55"/>
      <c r="W99" s="55"/>
    </row>
    <row r="100" spans="1:23">
      <c r="A100" s="138"/>
      <c r="B100" s="56" t="s">
        <v>90</v>
      </c>
      <c r="C100" s="57"/>
      <c r="D100" s="52"/>
      <c r="E100" s="52"/>
      <c r="F100" s="52"/>
      <c r="G100" s="52"/>
      <c r="H100" s="57"/>
      <c r="I100" s="52"/>
      <c r="J100" s="52"/>
      <c r="K100" s="52"/>
      <c r="L100" s="52"/>
      <c r="M100" s="115"/>
      <c r="N100" s="58"/>
      <c r="O100" s="53"/>
      <c r="P100" s="53"/>
      <c r="Q100" s="53"/>
      <c r="R100" s="53"/>
      <c r="S100" s="59"/>
      <c r="T100" s="55"/>
      <c r="U100" s="55"/>
      <c r="V100" s="55"/>
      <c r="W100" s="55"/>
    </row>
    <row r="101" spans="1:23" s="24" customFormat="1">
      <c r="A101" s="138" t="s">
        <v>46</v>
      </c>
      <c r="B101" s="142" t="s">
        <v>91</v>
      </c>
      <c r="C101" s="57">
        <f t="shared" ref="C101" si="46">D101+E101+F101</f>
        <v>78663.94200000001</v>
      </c>
      <c r="D101" s="57">
        <f>SUM(D102:D104)</f>
        <v>19842.887999999999</v>
      </c>
      <c r="E101" s="57">
        <f>SUM(E102:E104)</f>
        <v>48562.647000000004</v>
      </c>
      <c r="F101" s="57">
        <f>SUM(F102:F104)</f>
        <v>10258.407000000001</v>
      </c>
      <c r="G101" s="57"/>
      <c r="H101" s="57">
        <f>I101+J101+K101</f>
        <v>13.027999999999999</v>
      </c>
      <c r="I101" s="57">
        <f>I102+I103+I104</f>
        <v>3.2444999999999995</v>
      </c>
      <c r="J101" s="57">
        <f>J102+J103+J104</f>
        <v>8.0730000000000004</v>
      </c>
      <c r="K101" s="57">
        <f>K102+K103+K104</f>
        <v>1.7105000000000004</v>
      </c>
      <c r="L101" s="57"/>
      <c r="M101" s="115">
        <f t="shared" ref="M101" si="47">C101/H101</f>
        <v>6038.0673933067255</v>
      </c>
      <c r="N101" s="58"/>
      <c r="O101" s="116"/>
      <c r="P101" s="116"/>
      <c r="Q101" s="116"/>
      <c r="R101" s="116"/>
      <c r="S101" s="116"/>
      <c r="T101" s="116"/>
      <c r="U101" s="116"/>
      <c r="V101" s="116"/>
      <c r="W101" s="116"/>
    </row>
    <row r="102" spans="1:23">
      <c r="A102" s="138"/>
      <c r="B102" s="143" t="s">
        <v>272</v>
      </c>
      <c r="C102" s="57">
        <f t="shared" ref="C102:C104" si="48">D102+E102+F102</f>
        <v>23492.131999999998</v>
      </c>
      <c r="D102" s="52">
        <f>D63+D23</f>
        <v>9547.7999999999993</v>
      </c>
      <c r="E102" s="52">
        <f>E63+E23</f>
        <v>3702.1880000000001</v>
      </c>
      <c r="F102" s="52">
        <f>F63+F23</f>
        <v>10242.144</v>
      </c>
      <c r="G102" s="52"/>
      <c r="H102" s="57">
        <f>I102+J102+K102+0.001</f>
        <v>4.1154999999999999</v>
      </c>
      <c r="I102" s="60">
        <f>(I23*6+I63*6)/12</f>
        <v>1.8094999999999999</v>
      </c>
      <c r="J102" s="60">
        <f>(J23*6+J63*6)/12+0.001</f>
        <v>0.59650000000000003</v>
      </c>
      <c r="K102" s="60">
        <f>(K23*6+K63*6)/12-0.002</f>
        <v>1.7085000000000004</v>
      </c>
      <c r="L102" s="52"/>
      <c r="M102" s="115">
        <f t="shared" ref="M102:M118" si="49">C102/H102</f>
        <v>5708.2084801360706</v>
      </c>
      <c r="N102" s="58"/>
      <c r="O102" s="61"/>
      <c r="P102" s="61"/>
      <c r="Q102" s="61"/>
      <c r="R102" s="61"/>
      <c r="S102" s="59"/>
      <c r="T102" s="55"/>
      <c r="U102" s="55"/>
      <c r="V102" s="55"/>
      <c r="W102" s="55"/>
    </row>
    <row r="103" spans="1:23">
      <c r="A103" s="138"/>
      <c r="B103" s="143" t="s">
        <v>234</v>
      </c>
      <c r="C103" s="57">
        <f t="shared" si="48"/>
        <v>10075.196</v>
      </c>
      <c r="D103" s="52">
        <f>D64+D24</f>
        <v>10075.196</v>
      </c>
      <c r="E103" s="52"/>
      <c r="F103" s="52"/>
      <c r="G103" s="52"/>
      <c r="H103" s="57">
        <f t="shared" ref="H103:H104" si="50">I103+J103+K103</f>
        <v>1.4009999999999998</v>
      </c>
      <c r="I103" s="60">
        <f>(I24*6+I64*6)/12</f>
        <v>1.4009999999999998</v>
      </c>
      <c r="J103" s="60"/>
      <c r="K103" s="60"/>
      <c r="L103" s="52"/>
      <c r="M103" s="115">
        <f t="shared" si="49"/>
        <v>7191.4318344039984</v>
      </c>
      <c r="N103" s="58"/>
      <c r="O103" s="61"/>
      <c r="P103" s="61"/>
      <c r="Q103" s="61"/>
      <c r="R103" s="61"/>
      <c r="S103" s="59"/>
      <c r="T103" s="59"/>
      <c r="U103" s="55"/>
      <c r="V103" s="55"/>
      <c r="W103" s="55"/>
    </row>
    <row r="104" spans="1:23">
      <c r="A104" s="138"/>
      <c r="B104" s="56" t="str">
        <f>B65</f>
        <v>ЗАО "ЭПК"</v>
      </c>
      <c r="C104" s="57">
        <f t="shared" si="48"/>
        <v>45096.614000000001</v>
      </c>
      <c r="D104" s="52">
        <f>D65+D25</f>
        <v>219.892</v>
      </c>
      <c r="E104" s="52">
        <f>E65+E25</f>
        <v>44860.459000000003</v>
      </c>
      <c r="F104" s="52">
        <f>F65+F25</f>
        <v>16.262999999999998</v>
      </c>
      <c r="G104" s="52"/>
      <c r="H104" s="57">
        <f t="shared" si="50"/>
        <v>7.5125000000000002</v>
      </c>
      <c r="I104" s="60">
        <f>(I25*6+I65*6)/12</f>
        <v>3.3999999999999996E-2</v>
      </c>
      <c r="J104" s="60">
        <f>(J25*6+J65*6)/12</f>
        <v>7.4765000000000006</v>
      </c>
      <c r="K104" s="60">
        <f>(K25*6+K65*6)/12</f>
        <v>2E-3</v>
      </c>
      <c r="L104" s="52"/>
      <c r="M104" s="115">
        <f>E104/J104</f>
        <v>6000.1951447869988</v>
      </c>
      <c r="N104" s="58"/>
      <c r="O104" s="61"/>
      <c r="P104" s="61"/>
      <c r="Q104" s="61"/>
      <c r="R104" s="61"/>
      <c r="S104" s="59"/>
      <c r="T104" s="55"/>
      <c r="U104" s="55"/>
      <c r="V104" s="55"/>
      <c r="W104" s="55"/>
    </row>
    <row r="105" spans="1:23" s="24" customFormat="1">
      <c r="A105" s="138" t="s">
        <v>92</v>
      </c>
      <c r="B105" s="142" t="s">
        <v>93</v>
      </c>
      <c r="C105" s="57">
        <f>D105+E105+F105</f>
        <v>458081.88199999998</v>
      </c>
      <c r="D105" s="57">
        <f>SUM(D106:D111)</f>
        <v>177664.42600000001</v>
      </c>
      <c r="E105" s="57">
        <f>SUM(E106:E111)</f>
        <v>255938.29</v>
      </c>
      <c r="F105" s="57">
        <f>SUM(F106:F111)</f>
        <v>24479.165999999997</v>
      </c>
      <c r="G105" s="57"/>
      <c r="H105" s="57">
        <f>I105+J105+K105+0.001</f>
        <v>57.787999999999997</v>
      </c>
      <c r="I105" s="57">
        <f>SUM(I106:I111)</f>
        <v>23.010499999999997</v>
      </c>
      <c r="J105" s="57">
        <f>SUM(J106:J111)+0.001</f>
        <v>31.468499999999999</v>
      </c>
      <c r="K105" s="57">
        <f>SUM(K106:K111)</f>
        <v>3.3079999999999998</v>
      </c>
      <c r="L105" s="57"/>
      <c r="M105" s="115">
        <f t="shared" si="49"/>
        <v>7926.9378071571955</v>
      </c>
      <c r="N105" s="58"/>
      <c r="O105" s="116"/>
      <c r="P105" s="116"/>
      <c r="Q105" s="116"/>
      <c r="R105" s="116"/>
      <c r="S105" s="116"/>
      <c r="T105" s="116"/>
      <c r="U105" s="116"/>
      <c r="V105" s="116"/>
      <c r="W105" s="116"/>
    </row>
    <row r="106" spans="1:23" s="24" customFormat="1">
      <c r="A106" s="138"/>
      <c r="B106" s="143" t="s">
        <v>232</v>
      </c>
      <c r="C106" s="57">
        <f>D106+F106+E106</f>
        <v>43778.203999999998</v>
      </c>
      <c r="D106" s="52">
        <f>D67+D27</f>
        <v>32317.067999999999</v>
      </c>
      <c r="E106" s="52"/>
      <c r="F106" s="52">
        <f>F67+F27</f>
        <v>11461.135999999999</v>
      </c>
      <c r="G106" s="52"/>
      <c r="H106" s="57">
        <f t="shared" ref="H106:H117" si="51">I106+J106+K106</f>
        <v>5.774</v>
      </c>
      <c r="I106" s="60">
        <f>(I27*6+I67*6)/12</f>
        <v>4.2729999999999997</v>
      </c>
      <c r="J106" s="60"/>
      <c r="K106" s="60">
        <f>(K27*6+K67*6)/12</f>
        <v>1.5010000000000001</v>
      </c>
      <c r="L106" s="52"/>
      <c r="M106" s="115">
        <f t="shared" si="49"/>
        <v>7581.9542777970209</v>
      </c>
      <c r="N106" s="58"/>
      <c r="O106" s="116"/>
      <c r="P106" s="116"/>
      <c r="Q106" s="116"/>
      <c r="R106" s="116"/>
      <c r="S106" s="116"/>
      <c r="T106" s="116"/>
      <c r="U106" s="116"/>
      <c r="V106" s="116"/>
      <c r="W106" s="116"/>
    </row>
    <row r="107" spans="1:23" ht="14.25" customHeight="1">
      <c r="A107" s="138"/>
      <c r="B107" s="143" t="s">
        <v>233</v>
      </c>
      <c r="C107" s="57">
        <f t="shared" ref="C107:C108" si="52">D107+F107+E107</f>
        <v>29068.561999999998</v>
      </c>
      <c r="D107" s="52">
        <f>D68+D28</f>
        <v>29068.561999999998</v>
      </c>
      <c r="E107" s="52"/>
      <c r="F107" s="52"/>
      <c r="G107" s="52"/>
      <c r="H107" s="57">
        <f t="shared" ref="H107:H111" si="53">I107+J107+K107</f>
        <v>3.4289999999999998</v>
      </c>
      <c r="I107" s="60">
        <f>(I28*6+I68*6)/12</f>
        <v>3.4289999999999998</v>
      </c>
      <c r="J107" s="60"/>
      <c r="K107" s="60"/>
      <c r="L107" s="52"/>
      <c r="M107" s="115">
        <f t="shared" si="49"/>
        <v>8477.2709244677753</v>
      </c>
      <c r="N107" s="58"/>
      <c r="O107" s="61"/>
      <c r="P107" s="61"/>
      <c r="Q107" s="61"/>
      <c r="R107" s="61"/>
      <c r="S107" s="59"/>
      <c r="T107" s="59"/>
      <c r="U107" s="59"/>
      <c r="V107" s="59"/>
      <c r="W107" s="55"/>
    </row>
    <row r="108" spans="1:23" ht="14.25" customHeight="1">
      <c r="A108" s="138"/>
      <c r="B108" s="164" t="s">
        <v>259</v>
      </c>
      <c r="C108" s="57">
        <f t="shared" si="52"/>
        <v>336045.049</v>
      </c>
      <c r="D108" s="52">
        <f>D69+D29</f>
        <v>79616.701000000001</v>
      </c>
      <c r="E108" s="52">
        <f>E69+E29</f>
        <v>248415.2</v>
      </c>
      <c r="F108" s="52">
        <f>F69+F29</f>
        <v>8013.1479999999992</v>
      </c>
      <c r="G108" s="52"/>
      <c r="H108" s="57">
        <f>I108+J108+K108</f>
        <v>41.766500000000001</v>
      </c>
      <c r="I108" s="60">
        <f>(I29*6+I69*6)/12</f>
        <v>10.238</v>
      </c>
      <c r="J108" s="60">
        <f>(J29*6+J69*6)/12-0.001</f>
        <v>30.517499999999998</v>
      </c>
      <c r="K108" s="60">
        <f>ROUNDDOWN(((K29*6+K69*6)/12),3)</f>
        <v>1.0109999999999999</v>
      </c>
      <c r="L108" s="52"/>
      <c r="M108" s="115">
        <f t="shared" si="49"/>
        <v>8045.8034309793729</v>
      </c>
      <c r="N108" s="58"/>
      <c r="O108" s="61"/>
      <c r="P108" s="61"/>
      <c r="Q108" s="61"/>
      <c r="R108" s="61"/>
      <c r="S108" s="59"/>
      <c r="T108" s="59"/>
      <c r="U108" s="59"/>
      <c r="V108" s="59"/>
      <c r="W108" s="55"/>
    </row>
    <row r="109" spans="1:23" ht="14.25" customHeight="1">
      <c r="A109" s="138"/>
      <c r="B109" s="164" t="s">
        <v>273</v>
      </c>
      <c r="C109" s="57">
        <f t="shared" ref="C109" si="54">D109+F109+E109</f>
        <v>21410.161</v>
      </c>
      <c r="D109" s="52">
        <f>D70+D30</f>
        <v>21410.161</v>
      </c>
      <c r="E109" s="52"/>
      <c r="F109" s="52"/>
      <c r="G109" s="52"/>
      <c r="H109" s="57">
        <f t="shared" ref="H109:H110" si="55">I109+J109+K109</f>
        <v>2.9079999999999999</v>
      </c>
      <c r="I109" s="60">
        <f>(I30*6+I70*6)/12</f>
        <v>2.9079999999999999</v>
      </c>
      <c r="J109" s="60"/>
      <c r="K109" s="60"/>
      <c r="L109" s="52"/>
      <c r="M109" s="115">
        <f t="shared" ref="M109" si="56">C109/H109</f>
        <v>7362.5037826685011</v>
      </c>
      <c r="N109" s="58"/>
      <c r="O109" s="61"/>
      <c r="P109" s="61"/>
      <c r="Q109" s="61"/>
      <c r="R109" s="61"/>
      <c r="S109" s="59"/>
      <c r="T109" s="59"/>
      <c r="U109" s="59"/>
      <c r="V109" s="59"/>
      <c r="W109" s="55"/>
    </row>
    <row r="110" spans="1:23">
      <c r="A110" s="138"/>
      <c r="B110" s="56" t="str">
        <f>B71</f>
        <v>АО "ЭПК"</v>
      </c>
      <c r="C110" s="57">
        <f t="shared" ref="C110" si="57">D110+E110+F110</f>
        <v>7416.1509999999998</v>
      </c>
      <c r="D110" s="52">
        <f>D71+D31</f>
        <v>714.88200000000006</v>
      </c>
      <c r="E110" s="52">
        <f>E71+E31</f>
        <v>6701.2690000000002</v>
      </c>
      <c r="F110" s="52"/>
      <c r="G110" s="52"/>
      <c r="H110" s="57">
        <f t="shared" si="55"/>
        <v>1.0155000000000001</v>
      </c>
      <c r="I110" s="60">
        <f>(I31*6+I71*6)/12</f>
        <v>0.16200000000000001</v>
      </c>
      <c r="J110" s="60">
        <f>(J31*6+J71*6)/12</f>
        <v>0.85350000000000004</v>
      </c>
      <c r="K110" s="60"/>
      <c r="L110" s="52"/>
      <c r="M110" s="115">
        <f>E110/J110</f>
        <v>7851.5161101347394</v>
      </c>
      <c r="N110" s="58"/>
      <c r="O110" s="61"/>
      <c r="P110" s="61"/>
      <c r="Q110" s="61"/>
      <c r="R110" s="61"/>
      <c r="S110" s="59"/>
      <c r="T110" s="55"/>
      <c r="U110" s="55"/>
      <c r="V110" s="55"/>
      <c r="W110" s="55"/>
    </row>
    <row r="111" spans="1:23" ht="14.25" customHeight="1">
      <c r="A111" s="138"/>
      <c r="B111" s="143" t="s">
        <v>260</v>
      </c>
      <c r="C111" s="57">
        <f>D111+F111+E111</f>
        <v>20363.755000000001</v>
      </c>
      <c r="D111" s="52">
        <f>D72+D32</f>
        <v>14537.052</v>
      </c>
      <c r="E111" s="52">
        <f>E72+E32</f>
        <v>821.82100000000003</v>
      </c>
      <c r="F111" s="52">
        <f>F72+F32</f>
        <v>5004.8819999999996</v>
      </c>
      <c r="G111" s="52"/>
      <c r="H111" s="57">
        <f t="shared" si="53"/>
        <v>2.8929999999999998</v>
      </c>
      <c r="I111" s="60">
        <f>(I32*6+I72*6)/12</f>
        <v>2.0005000000000002</v>
      </c>
      <c r="J111" s="60">
        <f>(J32*6+J72*6)/12</f>
        <v>9.6500000000000016E-2</v>
      </c>
      <c r="K111" s="60">
        <f>(K32*6+K72*6)/12+0.001</f>
        <v>0.79599999999999993</v>
      </c>
      <c r="L111" s="52"/>
      <c r="M111" s="115">
        <f t="shared" si="49"/>
        <v>7038.975112340132</v>
      </c>
      <c r="N111" s="58"/>
      <c r="O111" s="61"/>
      <c r="P111" s="61"/>
      <c r="Q111" s="61"/>
      <c r="R111" s="61"/>
      <c r="S111" s="59"/>
      <c r="T111" s="59"/>
      <c r="U111" s="59"/>
      <c r="V111" s="59"/>
      <c r="W111" s="55"/>
    </row>
    <row r="112" spans="1:23">
      <c r="A112" s="144" t="s">
        <v>94</v>
      </c>
      <c r="B112" s="145" t="s">
        <v>95</v>
      </c>
      <c r="C112" s="57">
        <f>D112+E112+F112</f>
        <v>72827.565000000002</v>
      </c>
      <c r="D112" s="57">
        <f>SUM(D113:D117)</f>
        <v>12009.221000000001</v>
      </c>
      <c r="E112" s="57">
        <f t="shared" ref="E112:F112" si="58">SUM(E113:E117)</f>
        <v>60338.412000000004</v>
      </c>
      <c r="F112" s="57">
        <f t="shared" si="58"/>
        <v>479.93200000000002</v>
      </c>
      <c r="G112" s="57"/>
      <c r="H112" s="57">
        <f>I112+J112+K112</f>
        <v>10.389500000000002</v>
      </c>
      <c r="I112" s="57">
        <f>SUM(I113:I117)</f>
        <v>2.0289999999999999</v>
      </c>
      <c r="J112" s="57">
        <f>J113+J115+J117</f>
        <v>8.3035000000000014</v>
      </c>
      <c r="K112" s="57">
        <f>SUM(K113:K117)</f>
        <v>5.6999999999999995E-2</v>
      </c>
      <c r="L112" s="57"/>
      <c r="M112" s="115">
        <f t="shared" si="49"/>
        <v>7009.7276096058513</v>
      </c>
      <c r="N112" s="58"/>
      <c r="O112" s="116"/>
      <c r="P112" s="116"/>
      <c r="Q112" s="116"/>
      <c r="R112" s="116"/>
      <c r="S112" s="116"/>
      <c r="T112" s="116"/>
      <c r="U112" s="116"/>
      <c r="V112" s="116"/>
      <c r="W112" s="116"/>
    </row>
    <row r="113" spans="1:23">
      <c r="A113" s="138"/>
      <c r="B113" s="143" t="s">
        <v>279</v>
      </c>
      <c r="C113" s="57">
        <f>D113+E113+F113</f>
        <v>169.279</v>
      </c>
      <c r="D113" s="52"/>
      <c r="E113" s="52"/>
      <c r="F113" s="52">
        <f>F74+F34</f>
        <v>169.279</v>
      </c>
      <c r="G113" s="52"/>
      <c r="H113" s="57">
        <f t="shared" si="51"/>
        <v>2.1000000000000001E-2</v>
      </c>
      <c r="I113" s="52"/>
      <c r="J113" s="52"/>
      <c r="K113" s="60">
        <f>(K34*6+K74*6)/12</f>
        <v>2.1000000000000001E-2</v>
      </c>
      <c r="L113" s="52"/>
      <c r="M113" s="115">
        <f t="shared" si="49"/>
        <v>8060.9047619047615</v>
      </c>
      <c r="N113" s="58"/>
      <c r="O113" s="53"/>
      <c r="P113" s="53"/>
      <c r="Q113" s="53"/>
      <c r="R113" s="53"/>
      <c r="S113" s="59"/>
      <c r="T113" s="55"/>
      <c r="U113" s="55"/>
      <c r="V113" s="55"/>
      <c r="W113" s="55"/>
    </row>
    <row r="114" spans="1:23">
      <c r="A114" s="138"/>
      <c r="B114" s="143" t="s">
        <v>274</v>
      </c>
      <c r="C114" s="57">
        <f>D114+E114+F114</f>
        <v>310.65300000000002</v>
      </c>
      <c r="D114" s="52"/>
      <c r="E114" s="52"/>
      <c r="F114" s="52">
        <f>F75+F35</f>
        <v>310.65300000000002</v>
      </c>
      <c r="G114" s="52"/>
      <c r="H114" s="57">
        <f t="shared" ref="H114" si="59">I114+J114+K114</f>
        <v>3.5999999999999997E-2</v>
      </c>
      <c r="I114" s="52"/>
      <c r="J114" s="52"/>
      <c r="K114" s="60">
        <f>(K35*6+K75*6)/12</f>
        <v>3.5999999999999997E-2</v>
      </c>
      <c r="L114" s="52"/>
      <c r="M114" s="115">
        <f t="shared" ref="M114" si="60">C114/H114</f>
        <v>8629.2500000000018</v>
      </c>
      <c r="N114" s="58"/>
      <c r="O114" s="53"/>
      <c r="P114" s="53"/>
      <c r="Q114" s="53"/>
      <c r="R114" s="53"/>
      <c r="S114" s="59"/>
      <c r="T114" s="55"/>
      <c r="U114" s="55"/>
      <c r="V114" s="55"/>
      <c r="W114" s="55"/>
    </row>
    <row r="115" spans="1:23">
      <c r="A115" s="138"/>
      <c r="B115" s="143" t="s">
        <v>256</v>
      </c>
      <c r="C115" s="57">
        <f t="shared" ref="C115:C117" si="61">D115+E115+F115</f>
        <v>59669.415000000001</v>
      </c>
      <c r="D115" s="52"/>
      <c r="E115" s="52">
        <f>E76+E36</f>
        <v>59669.415000000001</v>
      </c>
      <c r="F115" s="52"/>
      <c r="G115" s="52"/>
      <c r="H115" s="57">
        <f t="shared" si="51"/>
        <v>8.2220000000000013</v>
      </c>
      <c r="I115" s="52"/>
      <c r="J115" s="60">
        <f>(J36*6+J76*6)/12</f>
        <v>8.2220000000000013</v>
      </c>
      <c r="K115" s="52"/>
      <c r="L115" s="52"/>
      <c r="M115" s="115">
        <f t="shared" si="49"/>
        <v>7257.2871564096313</v>
      </c>
      <c r="N115" s="58"/>
      <c r="O115" s="53"/>
      <c r="P115" s="53"/>
      <c r="Q115" s="53"/>
      <c r="R115" s="53"/>
      <c r="S115" s="59"/>
      <c r="T115" s="55"/>
      <c r="U115" s="55"/>
      <c r="V115" s="55"/>
      <c r="W115" s="55"/>
    </row>
    <row r="116" spans="1:23">
      <c r="A116" s="138"/>
      <c r="B116" s="143" t="s">
        <v>258</v>
      </c>
      <c r="C116" s="57">
        <f t="shared" ref="C116" si="62">D116+E116+F116</f>
        <v>12009.221000000001</v>
      </c>
      <c r="D116" s="52">
        <f>D77+D37</f>
        <v>12009.221000000001</v>
      </c>
      <c r="E116" s="52"/>
      <c r="F116" s="52"/>
      <c r="G116" s="52"/>
      <c r="H116" s="57">
        <f t="shared" ref="H116" si="63">I116+J116+K116</f>
        <v>2.0289999999999999</v>
      </c>
      <c r="I116" s="60">
        <f>(I37*6+I77*6)/12</f>
        <v>2.0289999999999999</v>
      </c>
      <c r="J116" s="60"/>
      <c r="K116" s="52"/>
      <c r="L116" s="52"/>
      <c r="M116" s="115">
        <f t="shared" ref="M116" si="64">C116/H116</f>
        <v>5918.7880729423368</v>
      </c>
      <c r="N116" s="58"/>
      <c r="O116" s="53"/>
      <c r="P116" s="53"/>
      <c r="Q116" s="53"/>
      <c r="R116" s="53"/>
      <c r="S116" s="59"/>
      <c r="T116" s="55"/>
      <c r="U116" s="55"/>
      <c r="V116" s="55"/>
      <c r="W116" s="55"/>
    </row>
    <row r="117" spans="1:23">
      <c r="A117" s="138"/>
      <c r="B117" s="143" t="s">
        <v>235</v>
      </c>
      <c r="C117" s="57">
        <f t="shared" si="61"/>
        <v>668.99699999999996</v>
      </c>
      <c r="D117" s="52"/>
      <c r="E117" s="52">
        <f>E78+E38</f>
        <v>668.99699999999996</v>
      </c>
      <c r="F117" s="52"/>
      <c r="G117" s="52"/>
      <c r="H117" s="57">
        <f t="shared" si="51"/>
        <v>8.1499999999999989E-2</v>
      </c>
      <c r="I117" s="52"/>
      <c r="J117" s="60">
        <f>(J38*6+J78*6)/12</f>
        <v>8.1499999999999989E-2</v>
      </c>
      <c r="K117" s="52"/>
      <c r="L117" s="52"/>
      <c r="M117" s="115">
        <f t="shared" si="49"/>
        <v>8208.5521472392647</v>
      </c>
      <c r="N117" s="58"/>
      <c r="O117" s="53"/>
      <c r="P117" s="53"/>
      <c r="Q117" s="53"/>
      <c r="R117" s="53"/>
      <c r="S117" s="59"/>
      <c r="T117" s="55"/>
      <c r="U117" s="55"/>
      <c r="V117" s="55"/>
      <c r="W117" s="55"/>
    </row>
    <row r="118" spans="1:23" s="24" customFormat="1">
      <c r="A118" s="144" t="s">
        <v>96</v>
      </c>
      <c r="B118" s="140" t="s">
        <v>97</v>
      </c>
      <c r="C118" s="57">
        <f>C112+C96+C88</f>
        <v>611475.84499999997</v>
      </c>
      <c r="D118" s="57">
        <f>D112+D96+D88</f>
        <v>209766.571</v>
      </c>
      <c r="E118" s="57">
        <f>E112+E96+E88</f>
        <v>364839.34900000005</v>
      </c>
      <c r="F118" s="57">
        <f>F112+F96+F88</f>
        <v>36869.924999999996</v>
      </c>
      <c r="G118" s="57">
        <f>G112+G96+G88</f>
        <v>0</v>
      </c>
      <c r="H118" s="57">
        <f>H112+H96+H88</f>
        <v>81.471999999999994</v>
      </c>
      <c r="I118" s="57">
        <f>I112+I96+I88</f>
        <v>28.318999999999996</v>
      </c>
      <c r="J118" s="57">
        <f>J112+J96+J88</f>
        <v>47.844999999999999</v>
      </c>
      <c r="K118" s="57">
        <f>K112+K96+K88+0.001</f>
        <v>5.3080000000000007</v>
      </c>
      <c r="L118" s="57"/>
      <c r="M118" s="115">
        <f t="shared" si="49"/>
        <v>7505.3496293205026</v>
      </c>
      <c r="N118" s="58"/>
      <c r="O118" s="116"/>
      <c r="P118" s="116"/>
      <c r="Q118" s="116"/>
      <c r="R118" s="116"/>
      <c r="S118" s="116"/>
      <c r="T118" s="116"/>
      <c r="U118" s="116"/>
      <c r="V118" s="116"/>
      <c r="W118" s="116"/>
    </row>
    <row r="119" spans="1:23">
      <c r="B119" s="162"/>
      <c r="C119" s="162"/>
      <c r="D119" s="162"/>
      <c r="E119" s="162"/>
      <c r="F119" s="162"/>
      <c r="H119" s="170"/>
      <c r="I119" s="170"/>
      <c r="J119" s="170"/>
      <c r="K119" s="170"/>
    </row>
    <row r="120" spans="1:23">
      <c r="C120" s="162"/>
      <c r="D120" s="162"/>
      <c r="E120" s="162"/>
      <c r="F120" s="162"/>
      <c r="H120" s="157"/>
      <c r="I120" s="157"/>
      <c r="J120" s="157"/>
      <c r="K120" s="157"/>
    </row>
    <row r="122" spans="1:23">
      <c r="D122" s="162"/>
      <c r="E122" s="162"/>
      <c r="F122" s="162"/>
      <c r="I122" s="172"/>
    </row>
    <row r="123" spans="1:23">
      <c r="I123" s="172"/>
    </row>
  </sheetData>
  <mergeCells count="26">
    <mergeCell ref="S45:W45"/>
    <mergeCell ref="A87:W87"/>
    <mergeCell ref="A48:W48"/>
    <mergeCell ref="A84:A85"/>
    <mergeCell ref="B84:B85"/>
    <mergeCell ref="C84:G84"/>
    <mergeCell ref="H84:L84"/>
    <mergeCell ref="M84:M85"/>
    <mergeCell ref="N84:R84"/>
    <mergeCell ref="S84:W84"/>
    <mergeCell ref="A8:W8"/>
    <mergeCell ref="A45:A46"/>
    <mergeCell ref="B45:B46"/>
    <mergeCell ref="C45:G45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5:L45"/>
    <mergeCell ref="M45:M46"/>
    <mergeCell ref="N45:R45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2" max="16383" man="1"/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3">
    <tabColor rgb="FFFF0000"/>
  </sheetPr>
  <dimension ref="A1:N173"/>
  <sheetViews>
    <sheetView view="pageBreakPreview" zoomScale="75" zoomScaleNormal="75" zoomScaleSheetLayoutView="75" workbookViewId="0">
      <selection activeCell="T131" sqref="T131"/>
    </sheetView>
  </sheetViews>
  <sheetFormatPr defaultColWidth="9.140625" defaultRowHeight="15.75"/>
  <cols>
    <col min="1" max="1" width="9.140625" style="102"/>
    <col min="2" max="2" width="67.5703125" style="103" customWidth="1"/>
    <col min="3" max="3" width="17.42578125" style="104" customWidth="1"/>
    <col min="4" max="4" width="13.7109375" style="104" customWidth="1"/>
    <col min="5" max="5" width="13.85546875" style="1" customWidth="1"/>
    <col min="6" max="6" width="17.7109375" style="1" customWidth="1"/>
    <col min="7" max="7" width="17.42578125" style="104" customWidth="1"/>
    <col min="8" max="8" width="13.5703125" style="104" customWidth="1"/>
    <col min="9" max="9" width="13.28515625" style="1" customWidth="1"/>
    <col min="10" max="10" width="17.7109375" style="1" customWidth="1"/>
    <col min="11" max="11" width="17.42578125" style="104" customWidth="1"/>
    <col min="12" max="12" width="13.85546875" style="104" customWidth="1"/>
    <col min="13" max="13" width="12.140625" style="1" customWidth="1"/>
    <col min="14" max="14" width="19" style="1" customWidth="1"/>
    <col min="15" max="16384" width="9.140625" style="1"/>
  </cols>
  <sheetData>
    <row r="1" spans="1:14" s="65" customFormat="1">
      <c r="A1" s="62" t="s">
        <v>98</v>
      </c>
      <c r="B1" s="63"/>
      <c r="C1" s="64"/>
      <c r="D1" s="64"/>
      <c r="G1" s="64"/>
      <c r="H1" s="64"/>
      <c r="K1" s="64"/>
      <c r="L1" s="64"/>
      <c r="N1" s="65" t="s">
        <v>99</v>
      </c>
    </row>
    <row r="2" spans="1:14" s="65" customFormat="1" ht="36.75" customHeight="1">
      <c r="A2" s="215" t="s">
        <v>284</v>
      </c>
      <c r="B2" s="215"/>
      <c r="C2" s="216"/>
      <c r="D2" s="216"/>
      <c r="E2" s="216"/>
      <c r="F2" s="216"/>
    </row>
    <row r="3" spans="1:14" s="65" customFormat="1" ht="18.75" customHeight="1">
      <c r="A3" s="205" t="str">
        <f>'П1.6'!I3</f>
        <v>ОАО "КузбассЭлектро"</v>
      </c>
      <c r="B3" s="205"/>
      <c r="C3" s="205"/>
      <c r="D3" s="205"/>
      <c r="E3" s="205"/>
      <c r="F3" s="205"/>
    </row>
    <row r="4" spans="1:14" s="65" customFormat="1" ht="16.5" thickBot="1">
      <c r="B4" s="63"/>
      <c r="C4" s="64"/>
      <c r="D4" s="64"/>
      <c r="G4" s="64"/>
      <c r="H4" s="64"/>
      <c r="K4" s="64"/>
      <c r="L4" s="64"/>
    </row>
    <row r="5" spans="1:14" ht="27" customHeight="1">
      <c r="A5" s="217" t="s">
        <v>100</v>
      </c>
      <c r="B5" s="219" t="s">
        <v>12</v>
      </c>
      <c r="C5" s="221" t="str">
        <f>'П1.6'!A8</f>
        <v>Факт 1 полугодие 2022г.</v>
      </c>
      <c r="D5" s="212"/>
      <c r="E5" s="213"/>
      <c r="F5" s="214"/>
      <c r="G5" s="212" t="str">
        <f>'П1.5'!I4</f>
        <v>Факт 2 полугодие 2022г.</v>
      </c>
      <c r="H5" s="212"/>
      <c r="I5" s="213"/>
      <c r="J5" s="214"/>
      <c r="K5" s="212" t="str">
        <f>'П1.5'!N4</f>
        <v>ФАКТ 2022 год</v>
      </c>
      <c r="L5" s="212"/>
      <c r="M5" s="213"/>
      <c r="N5" s="214"/>
    </row>
    <row r="6" spans="1:14" ht="48" thickBot="1">
      <c r="A6" s="218"/>
      <c r="B6" s="220"/>
      <c r="C6" s="66" t="s">
        <v>101</v>
      </c>
      <c r="D6" s="67" t="s">
        <v>261</v>
      </c>
      <c r="E6" s="67" t="s">
        <v>262</v>
      </c>
      <c r="F6" s="68" t="s">
        <v>102</v>
      </c>
      <c r="G6" s="69" t="s">
        <v>101</v>
      </c>
      <c r="H6" s="67" t="s">
        <v>261</v>
      </c>
      <c r="I6" s="67" t="s">
        <v>262</v>
      </c>
      <c r="J6" s="68" t="s">
        <v>102</v>
      </c>
      <c r="K6" s="69" t="s">
        <v>101</v>
      </c>
      <c r="L6" s="67" t="s">
        <v>261</v>
      </c>
      <c r="M6" s="67" t="s">
        <v>262</v>
      </c>
      <c r="N6" s="68" t="s">
        <v>102</v>
      </c>
    </row>
    <row r="7" spans="1:14" ht="18" customHeight="1">
      <c r="A7" s="146">
        <v>1</v>
      </c>
      <c r="B7" s="147" t="s">
        <v>103</v>
      </c>
      <c r="C7" s="117">
        <f>C10</f>
        <v>307083.28000000003</v>
      </c>
      <c r="D7" s="118"/>
      <c r="E7" s="118">
        <f>E10</f>
        <v>82.218999999999994</v>
      </c>
      <c r="F7" s="226">
        <v>667431</v>
      </c>
      <c r="G7" s="117">
        <f>G10</f>
        <v>317972.467</v>
      </c>
      <c r="H7" s="118"/>
      <c r="I7" s="118">
        <f>I10</f>
        <v>84.384999999999991</v>
      </c>
      <c r="J7" s="226">
        <f>F7</f>
        <v>667431</v>
      </c>
      <c r="K7" s="117">
        <f>C7+G7</f>
        <v>625055.74699999997</v>
      </c>
      <c r="L7" s="118"/>
      <c r="M7" s="118">
        <f>M10</f>
        <v>83.302000000000021</v>
      </c>
      <c r="N7" s="226">
        <f>J7</f>
        <v>667431</v>
      </c>
    </row>
    <row r="8" spans="1:14" ht="17.25" customHeight="1">
      <c r="A8" s="77"/>
      <c r="B8" s="78" t="s">
        <v>104</v>
      </c>
      <c r="C8" s="79"/>
      <c r="D8" s="82"/>
      <c r="E8" s="82"/>
      <c r="F8" s="70"/>
      <c r="G8" s="79"/>
      <c r="H8" s="82"/>
      <c r="I8" s="82"/>
      <c r="J8" s="70"/>
      <c r="K8" s="79"/>
      <c r="L8" s="82"/>
      <c r="M8" s="82"/>
      <c r="N8" s="70"/>
    </row>
    <row r="9" spans="1:14" s="71" customFormat="1" ht="18" customHeight="1">
      <c r="A9" s="72" t="s">
        <v>25</v>
      </c>
      <c r="B9" s="73" t="s">
        <v>105</v>
      </c>
      <c r="C9" s="119"/>
      <c r="D9" s="120"/>
      <c r="E9" s="120"/>
      <c r="F9" s="70"/>
      <c r="G9" s="119"/>
      <c r="H9" s="120"/>
      <c r="I9" s="120"/>
      <c r="J9" s="70"/>
      <c r="K9" s="119"/>
      <c r="L9" s="120"/>
      <c r="M9" s="120"/>
      <c r="N9" s="70"/>
    </row>
    <row r="10" spans="1:14" s="71" customFormat="1" ht="18" customHeight="1">
      <c r="A10" s="72" t="s">
        <v>26</v>
      </c>
      <c r="B10" s="73" t="s">
        <v>106</v>
      </c>
      <c r="C10" s="119">
        <f>'П1.4'!D7</f>
        <v>307083.28000000003</v>
      </c>
      <c r="D10" s="120"/>
      <c r="E10" s="120">
        <f>'П1.5'!D7</f>
        <v>82.218999999999994</v>
      </c>
      <c r="F10" s="70"/>
      <c r="G10" s="119">
        <f>'П1.4'!I7</f>
        <v>317972.467</v>
      </c>
      <c r="H10" s="120"/>
      <c r="I10" s="120">
        <f>'П1.5'!I7</f>
        <v>84.384999999999991</v>
      </c>
      <c r="J10" s="70"/>
      <c r="K10" s="117">
        <f>C10+G10</f>
        <v>625055.74699999997</v>
      </c>
      <c r="L10" s="118"/>
      <c r="M10" s="120">
        <f>'П1.5'!N7</f>
        <v>83.302000000000021</v>
      </c>
      <c r="N10" s="70"/>
    </row>
    <row r="11" spans="1:14" s="46" customFormat="1" ht="18" customHeight="1">
      <c r="A11" s="72"/>
      <c r="B11" s="73" t="s">
        <v>107</v>
      </c>
      <c r="C11" s="74"/>
      <c r="D11" s="76"/>
      <c r="E11" s="76"/>
      <c r="F11" s="70"/>
      <c r="G11" s="74"/>
      <c r="H11" s="76"/>
      <c r="I11" s="76"/>
      <c r="J11" s="70"/>
      <c r="K11" s="74"/>
      <c r="L11" s="76"/>
      <c r="M11" s="76"/>
      <c r="N11" s="70"/>
    </row>
    <row r="12" spans="1:14" s="46" customFormat="1" ht="18" customHeight="1">
      <c r="A12" s="72" t="s">
        <v>84</v>
      </c>
      <c r="B12" s="73" t="s">
        <v>257</v>
      </c>
      <c r="C12" s="74">
        <f>'П1.4'!D17</f>
        <v>17492.262999999999</v>
      </c>
      <c r="D12" s="76"/>
      <c r="E12" s="75">
        <v>5.6</v>
      </c>
      <c r="F12" s="70"/>
      <c r="G12" s="74">
        <f>'П1.4'!I17</f>
        <v>18227.12</v>
      </c>
      <c r="H12" s="76"/>
      <c r="I12" s="75">
        <v>5.6</v>
      </c>
      <c r="J12" s="70"/>
      <c r="K12" s="74">
        <f>C12+G12</f>
        <v>35719.383000000002</v>
      </c>
      <c r="L12" s="76"/>
      <c r="M12" s="76">
        <f>(E12+I12)/2</f>
        <v>5.6</v>
      </c>
      <c r="N12" s="70"/>
    </row>
    <row r="13" spans="1:14" s="46" customFormat="1" ht="18" customHeight="1">
      <c r="A13" s="72" t="s">
        <v>85</v>
      </c>
      <c r="B13" s="73" t="s">
        <v>276</v>
      </c>
      <c r="C13" s="74">
        <f>'П1.4'!D18</f>
        <v>255900.179</v>
      </c>
      <c r="D13" s="76"/>
      <c r="E13" s="76">
        <f>E10-E12-E14-E15-E16</f>
        <v>68.73599999999999</v>
      </c>
      <c r="F13" s="70"/>
      <c r="G13" s="74">
        <f>'П1.4'!I18</f>
        <v>266952.73</v>
      </c>
      <c r="H13" s="76"/>
      <c r="I13" s="76">
        <f>I10-I12-I14-I15-I16</f>
        <v>70.799000000000007</v>
      </c>
      <c r="J13" s="70"/>
      <c r="K13" s="74">
        <f>C13+G13</f>
        <v>522852.90899999999</v>
      </c>
      <c r="L13" s="76"/>
      <c r="M13" s="76">
        <v>69.768000000000001</v>
      </c>
      <c r="N13" s="70"/>
    </row>
    <row r="14" spans="1:14" s="46" customFormat="1" ht="18" customHeight="1">
      <c r="A14" s="72" t="s">
        <v>110</v>
      </c>
      <c r="B14" s="73" t="s">
        <v>258</v>
      </c>
      <c r="C14" s="74">
        <f>'П1.4'!D19</f>
        <v>32939.78</v>
      </c>
      <c r="D14" s="76"/>
      <c r="E14" s="76">
        <f>'П1.5'!E19</f>
        <v>7.6429999999999998</v>
      </c>
      <c r="F14" s="70"/>
      <c r="G14" s="74">
        <f>'П1.4'!I19</f>
        <v>32111.757000000001</v>
      </c>
      <c r="H14" s="76"/>
      <c r="I14" s="76">
        <f>'П1.5'!J19</f>
        <v>7.8</v>
      </c>
      <c r="J14" s="70"/>
      <c r="K14" s="74">
        <f>C14+G14</f>
        <v>65051.536999999997</v>
      </c>
      <c r="L14" s="76"/>
      <c r="M14" s="76">
        <v>7.7210000000000001</v>
      </c>
      <c r="N14" s="70"/>
    </row>
    <row r="15" spans="1:14" s="46" customFormat="1" ht="18" customHeight="1">
      <c r="A15" s="72" t="s">
        <v>236</v>
      </c>
      <c r="B15" s="73" t="s">
        <v>263</v>
      </c>
      <c r="C15" s="74">
        <f>'П1.4'!D21</f>
        <v>422.83499999999998</v>
      </c>
      <c r="D15" s="76"/>
      <c r="E15" s="76">
        <f>'П1.5'!G21</f>
        <v>0.108</v>
      </c>
      <c r="F15" s="70"/>
      <c r="G15" s="74">
        <f>'П1.4'!I21</f>
        <v>376.91199999999998</v>
      </c>
      <c r="H15" s="76"/>
      <c r="I15" s="76">
        <f>'П1.5'!L21</f>
        <v>9.4E-2</v>
      </c>
      <c r="J15" s="70"/>
      <c r="K15" s="74">
        <f>C15+G15</f>
        <v>799.74699999999996</v>
      </c>
      <c r="L15" s="76"/>
      <c r="M15" s="76">
        <f>(E15+I15)/2</f>
        <v>0.10100000000000001</v>
      </c>
      <c r="N15" s="70"/>
    </row>
    <row r="16" spans="1:14" s="46" customFormat="1" ht="18" customHeight="1">
      <c r="A16" s="72" t="s">
        <v>237</v>
      </c>
      <c r="B16" s="73" t="s">
        <v>238</v>
      </c>
      <c r="C16" s="74">
        <f>'П1.4'!D20</f>
        <v>328.22300000000001</v>
      </c>
      <c r="D16" s="76"/>
      <c r="E16" s="76">
        <f>'П1.5'!F20</f>
        <v>0.13200000000000001</v>
      </c>
      <c r="F16" s="70"/>
      <c r="G16" s="74">
        <f>'П1.4'!I20</f>
        <v>303.94799999999998</v>
      </c>
      <c r="H16" s="76"/>
      <c r="I16" s="76">
        <f>'П1.5'!K20</f>
        <v>9.1999999999999998E-2</v>
      </c>
      <c r="J16" s="70"/>
      <c r="K16" s="74">
        <f>C16+G16</f>
        <v>632.17100000000005</v>
      </c>
      <c r="L16" s="76"/>
      <c r="M16" s="76">
        <f>(E16+I16)/2</f>
        <v>0.112</v>
      </c>
      <c r="N16" s="70"/>
    </row>
    <row r="17" spans="1:14" s="46" customFormat="1" ht="18" customHeight="1">
      <c r="A17" s="77"/>
      <c r="B17" s="78" t="s">
        <v>111</v>
      </c>
      <c r="C17" s="79"/>
      <c r="D17" s="82"/>
      <c r="E17" s="82"/>
      <c r="F17" s="81"/>
      <c r="G17" s="79"/>
      <c r="H17" s="82"/>
      <c r="I17" s="82"/>
      <c r="J17" s="81"/>
      <c r="K17" s="79"/>
      <c r="L17" s="82"/>
      <c r="M17" s="82"/>
      <c r="N17" s="81"/>
    </row>
    <row r="18" spans="1:14" ht="18" customHeight="1">
      <c r="A18" s="88" t="s">
        <v>23</v>
      </c>
      <c r="B18" s="89" t="s">
        <v>112</v>
      </c>
      <c r="C18" s="119">
        <f>'П1.4'!D22</f>
        <v>6303.9230000000007</v>
      </c>
      <c r="D18" s="120"/>
      <c r="E18" s="120">
        <f>'П1.5'!D22</f>
        <v>1.6819999999999997</v>
      </c>
      <c r="F18" s="83"/>
      <c r="G18" s="119">
        <f>'П1.4'!I22</f>
        <v>6558.3959999999997</v>
      </c>
      <c r="H18" s="120"/>
      <c r="I18" s="120">
        <f>'П1.5'!I22</f>
        <v>1.7359999999999998</v>
      </c>
      <c r="J18" s="83"/>
      <c r="K18" s="117">
        <f>C18+G18</f>
        <v>12862.319</v>
      </c>
      <c r="L18" s="118"/>
      <c r="M18" s="120">
        <f>'П1.5'!N22</f>
        <v>1.7090000000000001</v>
      </c>
      <c r="N18" s="83"/>
    </row>
    <row r="19" spans="1:14" ht="18" customHeight="1">
      <c r="A19" s="88" t="s">
        <v>94</v>
      </c>
      <c r="B19" s="89" t="s">
        <v>113</v>
      </c>
      <c r="C19" s="119">
        <f>C10-C18</f>
        <v>300779.35700000002</v>
      </c>
      <c r="D19" s="120"/>
      <c r="E19" s="120">
        <f>E10-E18</f>
        <v>80.536999999999992</v>
      </c>
      <c r="F19" s="83"/>
      <c r="G19" s="119">
        <f>G10-G18</f>
        <v>311414.071</v>
      </c>
      <c r="H19" s="120"/>
      <c r="I19" s="120">
        <f>I10-I18</f>
        <v>82.648999999999987</v>
      </c>
      <c r="J19" s="83"/>
      <c r="K19" s="117">
        <f>C19+G19</f>
        <v>612193.42800000007</v>
      </c>
      <c r="L19" s="118"/>
      <c r="M19" s="120">
        <f>M10-M18</f>
        <v>81.593000000000018</v>
      </c>
      <c r="N19" s="83"/>
    </row>
    <row r="20" spans="1:14" ht="18" customHeight="1">
      <c r="A20" s="77"/>
      <c r="B20" s="78" t="s">
        <v>114</v>
      </c>
      <c r="C20" s="79"/>
      <c r="D20" s="82"/>
      <c r="E20" s="82"/>
      <c r="F20" s="70"/>
      <c r="G20" s="79"/>
      <c r="H20" s="82"/>
      <c r="I20" s="82"/>
      <c r="J20" s="70"/>
      <c r="K20" s="79"/>
      <c r="L20" s="82"/>
      <c r="M20" s="82"/>
      <c r="N20" s="70"/>
    </row>
    <row r="21" spans="1:14" ht="18" customHeight="1">
      <c r="A21" s="88" t="s">
        <v>115</v>
      </c>
      <c r="B21" s="89" t="s">
        <v>116</v>
      </c>
      <c r="C21" s="119">
        <f>'П1.4'!D33</f>
        <v>263601.38800000004</v>
      </c>
      <c r="D21" s="120"/>
      <c r="E21" s="120">
        <f>'П1.5'!D33</f>
        <v>70.007999999999996</v>
      </c>
      <c r="F21" s="70"/>
      <c r="G21" s="119">
        <f>'П1.4'!I33</f>
        <v>275046.89199999999</v>
      </c>
      <c r="H21" s="120"/>
      <c r="I21" s="120">
        <f>'П1.5'!I33</f>
        <v>72.155999999999992</v>
      </c>
      <c r="J21" s="70"/>
      <c r="K21" s="117">
        <f>C21+G21</f>
        <v>538648.28</v>
      </c>
      <c r="L21" s="118"/>
      <c r="M21" s="120">
        <f>'П1.5'!N33</f>
        <v>71.082000000000008</v>
      </c>
      <c r="N21" s="70"/>
    </row>
    <row r="22" spans="1:14" ht="18" customHeight="1">
      <c r="A22" s="88" t="s">
        <v>117</v>
      </c>
      <c r="B22" s="89" t="s">
        <v>118</v>
      </c>
      <c r="C22" s="119">
        <f>'П1.4'!D29+'П1.4'!D35</f>
        <v>37177.968999999997</v>
      </c>
      <c r="D22" s="120"/>
      <c r="E22" s="120">
        <f>'П1.5'!D36+'П1.5'!D29</f>
        <v>10.529</v>
      </c>
      <c r="F22" s="70"/>
      <c r="G22" s="119">
        <f>'П1.4'!I29+'П1.4'!I35</f>
        <v>36367.179000000004</v>
      </c>
      <c r="H22" s="120"/>
      <c r="I22" s="120">
        <f>'П1.5'!I36+'П1.5'!I29</f>
        <v>10.493</v>
      </c>
      <c r="J22" s="70"/>
      <c r="K22" s="117">
        <f>C22+G22</f>
        <v>73545.148000000001</v>
      </c>
      <c r="L22" s="118"/>
      <c r="M22" s="120">
        <v>10.510999999999999</v>
      </c>
      <c r="N22" s="70"/>
    </row>
    <row r="23" spans="1:14" s="46" customFormat="1" ht="18" customHeight="1">
      <c r="A23" s="77"/>
      <c r="B23" s="78" t="s">
        <v>119</v>
      </c>
      <c r="C23" s="79"/>
      <c r="D23" s="82"/>
      <c r="E23" s="82"/>
      <c r="F23" s="81"/>
      <c r="G23" s="79"/>
      <c r="H23" s="82"/>
      <c r="I23" s="82"/>
      <c r="J23" s="81"/>
      <c r="K23" s="79"/>
      <c r="L23" s="82"/>
      <c r="M23" s="82"/>
      <c r="N23" s="81"/>
    </row>
    <row r="24" spans="1:14" s="46" customFormat="1" ht="18" customHeight="1">
      <c r="A24" s="72" t="s">
        <v>120</v>
      </c>
      <c r="B24" s="73" t="str">
        <f>B12</f>
        <v>ПАО "ФСК ЕЭС"</v>
      </c>
      <c r="C24" s="74">
        <v>0</v>
      </c>
      <c r="D24" s="76"/>
      <c r="E24" s="76">
        <v>0</v>
      </c>
      <c r="F24" s="70"/>
      <c r="G24" s="74">
        <v>0</v>
      </c>
      <c r="H24" s="76"/>
      <c r="I24" s="76">
        <v>0</v>
      </c>
      <c r="J24" s="70"/>
      <c r="K24" s="74">
        <f t="shared" ref="K24:K38" si="0">C24+G24</f>
        <v>0</v>
      </c>
      <c r="L24" s="76"/>
      <c r="M24" s="76">
        <v>0</v>
      </c>
      <c r="N24" s="70"/>
    </row>
    <row r="25" spans="1:14" s="46" customFormat="1" ht="18" customHeight="1">
      <c r="A25" s="72" t="s">
        <v>121</v>
      </c>
      <c r="B25" s="85" t="s">
        <v>122</v>
      </c>
      <c r="C25" s="74">
        <f>C24-C12</f>
        <v>-17492.262999999999</v>
      </c>
      <c r="D25" s="76"/>
      <c r="E25" s="76">
        <f>E24-E12</f>
        <v>-5.6</v>
      </c>
      <c r="F25" s="86"/>
      <c r="G25" s="74">
        <f>G24-G12</f>
        <v>-18227.12</v>
      </c>
      <c r="H25" s="76"/>
      <c r="I25" s="76">
        <f>I24-I12</f>
        <v>-5.6</v>
      </c>
      <c r="J25" s="86"/>
      <c r="K25" s="74">
        <f t="shared" si="0"/>
        <v>-35719.383000000002</v>
      </c>
      <c r="L25" s="76"/>
      <c r="M25" s="76">
        <f>M24-M12</f>
        <v>-5.6</v>
      </c>
      <c r="N25" s="86"/>
    </row>
    <row r="26" spans="1:14" s="46" customFormat="1" ht="17.25" customHeight="1">
      <c r="A26" s="72" t="s">
        <v>123</v>
      </c>
      <c r="B26" s="73" t="str">
        <f>B13</f>
        <v>ПАО "Россети Сибирь"-"Кузбассэнерго-РЭС"</v>
      </c>
      <c r="C26" s="74">
        <f>'П1.6'!F34</f>
        <v>89.995999999999995</v>
      </c>
      <c r="D26" s="76"/>
      <c r="E26" s="76">
        <f>'П1.6'!K34</f>
        <v>2.3E-2</v>
      </c>
      <c r="F26" s="86"/>
      <c r="G26" s="74">
        <f>'П1.6'!F74</f>
        <v>79.283000000000001</v>
      </c>
      <c r="H26" s="76"/>
      <c r="I26" s="76">
        <f>'П1.6'!K74</f>
        <v>1.9E-2</v>
      </c>
      <c r="J26" s="86"/>
      <c r="K26" s="74">
        <f t="shared" si="0"/>
        <v>169.279</v>
      </c>
      <c r="L26" s="76"/>
      <c r="M26" s="76">
        <f>'П1.6'!K113</f>
        <v>2.1000000000000001E-2</v>
      </c>
      <c r="N26" s="86"/>
    </row>
    <row r="27" spans="1:14" s="46" customFormat="1" ht="20.25" customHeight="1">
      <c r="A27" s="72" t="s">
        <v>124</v>
      </c>
      <c r="B27" s="85" t="s">
        <v>125</v>
      </c>
      <c r="C27" s="74">
        <f>C26-C13</f>
        <v>-255810.18299999999</v>
      </c>
      <c r="D27" s="76"/>
      <c r="E27" s="76">
        <f>E26-E13</f>
        <v>-68.712999999999994</v>
      </c>
      <c r="F27" s="86"/>
      <c r="G27" s="74">
        <f>G26-G13</f>
        <v>-266873.44699999999</v>
      </c>
      <c r="H27" s="76"/>
      <c r="I27" s="76">
        <f>I26-I13</f>
        <v>-70.78</v>
      </c>
      <c r="J27" s="86"/>
      <c r="K27" s="74">
        <f t="shared" si="0"/>
        <v>-522683.63</v>
      </c>
      <c r="L27" s="76"/>
      <c r="M27" s="76">
        <f>M26-M13</f>
        <v>-69.747</v>
      </c>
      <c r="N27" s="86"/>
    </row>
    <row r="28" spans="1:14" s="46" customFormat="1" ht="20.25" customHeight="1">
      <c r="A28" s="72" t="s">
        <v>126</v>
      </c>
      <c r="B28" s="85" t="str">
        <f>B14</f>
        <v>АО "Электросеть"</v>
      </c>
      <c r="C28" s="74">
        <f>'П1.6'!D37</f>
        <v>5692.5870000000004</v>
      </c>
      <c r="D28" s="76"/>
      <c r="E28" s="76">
        <f>'П1.6'!I37</f>
        <v>1.905</v>
      </c>
      <c r="F28" s="86"/>
      <c r="G28" s="74">
        <f>'П1.6'!D77</f>
        <v>6316.634</v>
      </c>
      <c r="H28" s="76"/>
      <c r="I28" s="76">
        <f>'П1.6'!I77</f>
        <v>2.153</v>
      </c>
      <c r="J28" s="86"/>
      <c r="K28" s="74">
        <f t="shared" si="0"/>
        <v>12009.221000000001</v>
      </c>
      <c r="L28" s="76"/>
      <c r="M28" s="76">
        <f>(E28+I28)/2</f>
        <v>2.0289999999999999</v>
      </c>
      <c r="N28" s="86"/>
    </row>
    <row r="29" spans="1:14" s="46" customFormat="1" ht="20.25" customHeight="1">
      <c r="A29" s="72" t="s">
        <v>239</v>
      </c>
      <c r="B29" s="85" t="s">
        <v>246</v>
      </c>
      <c r="C29" s="74">
        <f>C28-C14</f>
        <v>-27247.192999999999</v>
      </c>
      <c r="D29" s="76"/>
      <c r="E29" s="76">
        <f>E28-E14</f>
        <v>-5.7379999999999995</v>
      </c>
      <c r="F29" s="86"/>
      <c r="G29" s="74">
        <f>G28-G14</f>
        <v>-25795.123</v>
      </c>
      <c r="H29" s="76"/>
      <c r="I29" s="76">
        <f>I28-I14</f>
        <v>-5.6470000000000002</v>
      </c>
      <c r="J29" s="86"/>
      <c r="K29" s="74">
        <f t="shared" si="0"/>
        <v>-53042.315999999999</v>
      </c>
      <c r="L29" s="76"/>
      <c r="M29" s="76">
        <f>M28-M14</f>
        <v>-5.6920000000000002</v>
      </c>
      <c r="N29" s="86"/>
    </row>
    <row r="30" spans="1:14" s="46" customFormat="1" ht="20.25" customHeight="1">
      <c r="A30" s="72" t="s">
        <v>240</v>
      </c>
      <c r="B30" s="85" t="str">
        <f>B15</f>
        <v>АО "ЭнергоПаритет"</v>
      </c>
      <c r="C30" s="74">
        <v>0</v>
      </c>
      <c r="D30" s="76"/>
      <c r="E30" s="76">
        <v>0</v>
      </c>
      <c r="F30" s="86"/>
      <c r="G30" s="74">
        <v>0</v>
      </c>
      <c r="H30" s="76"/>
      <c r="I30" s="76">
        <v>0</v>
      </c>
      <c r="J30" s="86"/>
      <c r="K30" s="74">
        <f t="shared" si="0"/>
        <v>0</v>
      </c>
      <c r="L30" s="76"/>
      <c r="M30" s="76">
        <v>0</v>
      </c>
      <c r="N30" s="86"/>
    </row>
    <row r="31" spans="1:14" s="46" customFormat="1" ht="20.25" customHeight="1">
      <c r="A31" s="72" t="s">
        <v>244</v>
      </c>
      <c r="B31" s="85" t="s">
        <v>247</v>
      </c>
      <c r="C31" s="74">
        <f>C30-C15</f>
        <v>-422.83499999999998</v>
      </c>
      <c r="D31" s="76"/>
      <c r="E31" s="76">
        <f>E30-E15</f>
        <v>-0.108</v>
      </c>
      <c r="F31" s="86"/>
      <c r="G31" s="74">
        <f>G30-G15</f>
        <v>-376.91199999999998</v>
      </c>
      <c r="H31" s="76"/>
      <c r="I31" s="76">
        <f>I30-I15</f>
        <v>-9.4E-2</v>
      </c>
      <c r="J31" s="86"/>
      <c r="K31" s="74">
        <f t="shared" si="0"/>
        <v>-799.74699999999996</v>
      </c>
      <c r="L31" s="76"/>
      <c r="M31" s="76">
        <f>M30-M15</f>
        <v>-0.10100000000000001</v>
      </c>
      <c r="N31" s="86"/>
    </row>
    <row r="32" spans="1:14" s="46" customFormat="1" ht="20.25" customHeight="1">
      <c r="A32" s="72" t="s">
        <v>241</v>
      </c>
      <c r="B32" s="85" t="str">
        <f>B16</f>
        <v>ОАО "РЖД"</v>
      </c>
      <c r="C32" s="74">
        <v>0</v>
      </c>
      <c r="D32" s="76"/>
      <c r="E32" s="76">
        <v>0</v>
      </c>
      <c r="F32" s="86"/>
      <c r="G32" s="74">
        <v>0</v>
      </c>
      <c r="H32" s="76"/>
      <c r="I32" s="76">
        <v>0</v>
      </c>
      <c r="J32" s="86"/>
      <c r="K32" s="74">
        <f t="shared" si="0"/>
        <v>0</v>
      </c>
      <c r="L32" s="76"/>
      <c r="M32" s="76">
        <v>0</v>
      </c>
      <c r="N32" s="86"/>
    </row>
    <row r="33" spans="1:14" s="46" customFormat="1" ht="20.25" customHeight="1">
      <c r="A33" s="72" t="s">
        <v>245</v>
      </c>
      <c r="B33" s="85" t="s">
        <v>247</v>
      </c>
      <c r="C33" s="74">
        <f>C32-C16</f>
        <v>-328.22300000000001</v>
      </c>
      <c r="D33" s="76"/>
      <c r="E33" s="76">
        <f>E32-E16</f>
        <v>-0.13200000000000001</v>
      </c>
      <c r="F33" s="86"/>
      <c r="G33" s="74">
        <f>G32-G16</f>
        <v>-303.94799999999998</v>
      </c>
      <c r="H33" s="76"/>
      <c r="I33" s="76">
        <f>I32-I16</f>
        <v>-9.1999999999999998E-2</v>
      </c>
      <c r="J33" s="86"/>
      <c r="K33" s="74">
        <f t="shared" si="0"/>
        <v>-632.17100000000005</v>
      </c>
      <c r="L33" s="76"/>
      <c r="M33" s="76">
        <f>M32-M16</f>
        <v>-0.112</v>
      </c>
      <c r="N33" s="86"/>
    </row>
    <row r="34" spans="1:14" s="46" customFormat="1" ht="20.25" customHeight="1">
      <c r="A34" s="72" t="s">
        <v>242</v>
      </c>
      <c r="B34" s="85" t="str">
        <f>'П1.6'!B115</f>
        <v>ООО "КЭнК"</v>
      </c>
      <c r="C34" s="74">
        <f>'П1.6'!C36</f>
        <v>30225.615000000002</v>
      </c>
      <c r="D34" s="76"/>
      <c r="E34" s="76">
        <f>'П1.6'!H36</f>
        <v>8.2840000000000007</v>
      </c>
      <c r="F34" s="86"/>
      <c r="G34" s="74">
        <f>'П1.6'!C76</f>
        <v>29443.8</v>
      </c>
      <c r="H34" s="76"/>
      <c r="I34" s="76">
        <f>'П1.6'!H76</f>
        <v>8.16</v>
      </c>
      <c r="J34" s="86"/>
      <c r="K34" s="74">
        <f t="shared" si="0"/>
        <v>59669.415000000001</v>
      </c>
      <c r="L34" s="76"/>
      <c r="M34" s="76">
        <f>'П1.6'!H115</f>
        <v>8.2220000000000013</v>
      </c>
      <c r="N34" s="86"/>
    </row>
    <row r="35" spans="1:14" s="46" customFormat="1" ht="20.25" customHeight="1">
      <c r="A35" s="72" t="s">
        <v>243</v>
      </c>
      <c r="B35" s="85" t="str">
        <f>'П1.6'!B117</f>
        <v>ООО "СКЭК"</v>
      </c>
      <c r="C35" s="74">
        <f>'П1.6'!C38</f>
        <v>609.30399999999997</v>
      </c>
      <c r="D35" s="76"/>
      <c r="E35" s="76">
        <f>'П1.6'!H38</f>
        <v>0.14599999999999999</v>
      </c>
      <c r="F35" s="86"/>
      <c r="G35" s="74">
        <f>'П1.6'!C78</f>
        <v>59.692999999999998</v>
      </c>
      <c r="H35" s="76"/>
      <c r="I35" s="76">
        <f>'П1.6'!H78</f>
        <v>1.7000000000000001E-2</v>
      </c>
      <c r="J35" s="86"/>
      <c r="K35" s="74">
        <f t="shared" si="0"/>
        <v>668.99699999999996</v>
      </c>
      <c r="L35" s="76"/>
      <c r="M35" s="76">
        <f>'П1.6'!H117</f>
        <v>8.1499999999999989E-2</v>
      </c>
      <c r="N35" s="86"/>
    </row>
    <row r="36" spans="1:14" s="46" customFormat="1" ht="20.25" hidden="1" customHeight="1">
      <c r="A36" s="72" t="s">
        <v>248</v>
      </c>
      <c r="B36" s="85" t="e">
        <f>'П1.6'!#REF!</f>
        <v>#REF!</v>
      </c>
      <c r="C36" s="74">
        <f>'П1.6'!C39</f>
        <v>0</v>
      </c>
      <c r="D36" s="76"/>
      <c r="E36" s="76" t="e">
        <f>'П1.6'!#REF!</f>
        <v>#REF!</v>
      </c>
      <c r="F36" s="86"/>
      <c r="G36" s="74" t="e">
        <f>'П1.6'!#REF!</f>
        <v>#REF!</v>
      </c>
      <c r="H36" s="76"/>
      <c r="I36" s="76" t="e">
        <f>'П1.6'!#REF!</f>
        <v>#REF!</v>
      </c>
      <c r="J36" s="86"/>
      <c r="K36" s="74" t="e">
        <f t="shared" si="0"/>
        <v>#REF!</v>
      </c>
      <c r="L36" s="76"/>
      <c r="M36" s="76" t="e">
        <f>'П1.6'!#REF!</f>
        <v>#REF!</v>
      </c>
      <c r="N36" s="86"/>
    </row>
    <row r="37" spans="1:14" s="46" customFormat="1" ht="20.25" customHeight="1">
      <c r="A37" s="72" t="s">
        <v>249</v>
      </c>
      <c r="B37" s="85" t="s">
        <v>274</v>
      </c>
      <c r="C37" s="74">
        <f>'П1.6'!F35</f>
        <v>168.08699999999999</v>
      </c>
      <c r="D37" s="76"/>
      <c r="E37" s="76">
        <f>'П1.6'!K35</f>
        <v>3.7999999999999999E-2</v>
      </c>
      <c r="F37" s="86"/>
      <c r="G37" s="74">
        <f>'П1.6'!F75</f>
        <v>142.566</v>
      </c>
      <c r="H37" s="76"/>
      <c r="I37" s="76">
        <f>'П1.6'!K75</f>
        <v>3.4000000000000002E-2</v>
      </c>
      <c r="J37" s="86"/>
      <c r="K37" s="74">
        <f t="shared" si="0"/>
        <v>310.65300000000002</v>
      </c>
      <c r="L37" s="76"/>
      <c r="M37" s="76">
        <f>'П1.6'!K114</f>
        <v>3.5999999999999997E-2</v>
      </c>
      <c r="N37" s="86"/>
    </row>
    <row r="38" spans="1:14" s="46" customFormat="1" ht="18" customHeight="1">
      <c r="A38" s="72" t="s">
        <v>255</v>
      </c>
      <c r="B38" s="85" t="s">
        <v>230</v>
      </c>
      <c r="C38" s="74">
        <f>'П1.4'!D29</f>
        <v>392.38</v>
      </c>
      <c r="D38" s="76"/>
      <c r="E38" s="76">
        <f>'П1.5'!D29</f>
        <v>0.13300000000000001</v>
      </c>
      <c r="F38" s="86"/>
      <c r="G38" s="74">
        <f>'П1.4'!I29</f>
        <v>325.20299999999997</v>
      </c>
      <c r="H38" s="76"/>
      <c r="I38" s="76">
        <f>'П1.5'!I29</f>
        <v>0.11</v>
      </c>
      <c r="J38" s="86"/>
      <c r="K38" s="74">
        <f t="shared" si="0"/>
        <v>717.58299999999997</v>
      </c>
      <c r="L38" s="76"/>
      <c r="M38" s="76">
        <f>'П1.5'!N29</f>
        <v>0.1205</v>
      </c>
      <c r="N38" s="86"/>
    </row>
    <row r="39" spans="1:14" s="46" customFormat="1" ht="20.25" hidden="1" customHeight="1">
      <c r="A39" s="72"/>
      <c r="B39" s="85"/>
      <c r="C39" s="74"/>
      <c r="D39" s="76"/>
      <c r="E39" s="76"/>
      <c r="F39" s="86"/>
      <c r="G39" s="74"/>
      <c r="H39" s="76"/>
      <c r="I39" s="76"/>
      <c r="J39" s="86"/>
      <c r="K39" s="74"/>
      <c r="L39" s="76"/>
      <c r="M39" s="76"/>
      <c r="N39" s="86"/>
    </row>
    <row r="40" spans="1:14" s="46" customFormat="1" ht="20.25" hidden="1" customHeight="1">
      <c r="A40" s="72"/>
      <c r="B40" s="85"/>
      <c r="C40" s="74"/>
      <c r="D40" s="76"/>
      <c r="E40" s="76"/>
      <c r="F40" s="86"/>
      <c r="G40" s="74"/>
      <c r="H40" s="76"/>
      <c r="I40" s="76"/>
      <c r="J40" s="86"/>
      <c r="K40" s="74"/>
      <c r="L40" s="76"/>
      <c r="M40" s="76"/>
      <c r="N40" s="86"/>
    </row>
    <row r="41" spans="1:14" s="46" customFormat="1" ht="20.25" hidden="1" customHeight="1">
      <c r="A41" s="72"/>
      <c r="B41" s="85"/>
      <c r="C41" s="74"/>
      <c r="D41" s="76"/>
      <c r="E41" s="76"/>
      <c r="F41" s="86"/>
      <c r="G41" s="74"/>
      <c r="H41" s="76"/>
      <c r="I41" s="76"/>
      <c r="J41" s="86"/>
      <c r="K41" s="74"/>
      <c r="L41" s="76"/>
      <c r="M41" s="76"/>
      <c r="N41" s="86"/>
    </row>
    <row r="42" spans="1:14" s="46" customFormat="1" ht="20.25" hidden="1" customHeight="1">
      <c r="A42" s="72"/>
      <c r="B42" s="85"/>
      <c r="C42" s="74"/>
      <c r="D42" s="76"/>
      <c r="E42" s="76"/>
      <c r="F42" s="86"/>
      <c r="G42" s="74"/>
      <c r="H42" s="76"/>
      <c r="I42" s="76"/>
      <c r="J42" s="86"/>
      <c r="K42" s="74"/>
      <c r="L42" s="76"/>
      <c r="M42" s="76"/>
      <c r="N42" s="86"/>
    </row>
    <row r="43" spans="1:14" s="46" customFormat="1" ht="15.75" hidden="1" customHeight="1">
      <c r="A43" s="72" t="s">
        <v>126</v>
      </c>
      <c r="B43" s="73" t="s">
        <v>111</v>
      </c>
      <c r="C43" s="74"/>
      <c r="D43" s="76"/>
      <c r="E43" s="76"/>
      <c r="F43" s="86"/>
      <c r="G43" s="74"/>
      <c r="H43" s="76"/>
      <c r="I43" s="76"/>
      <c r="J43" s="86"/>
      <c r="K43" s="74"/>
      <c r="L43" s="76"/>
      <c r="M43" s="76"/>
      <c r="N43" s="86"/>
    </row>
    <row r="44" spans="1:14" s="46" customFormat="1" ht="18" customHeight="1">
      <c r="A44" s="77" t="s">
        <v>96</v>
      </c>
      <c r="B44" s="78" t="s">
        <v>127</v>
      </c>
      <c r="C44" s="79"/>
      <c r="D44" s="82"/>
      <c r="E44" s="82"/>
      <c r="F44" s="70"/>
      <c r="G44" s="79"/>
      <c r="H44" s="82"/>
      <c r="I44" s="82"/>
      <c r="J44" s="70"/>
      <c r="K44" s="79"/>
      <c r="L44" s="82"/>
      <c r="M44" s="82"/>
      <c r="N44" s="70"/>
    </row>
    <row r="45" spans="1:14" s="46" customFormat="1" ht="18" customHeight="1">
      <c r="A45" s="77"/>
      <c r="B45" s="78" t="s">
        <v>107</v>
      </c>
      <c r="C45" s="79"/>
      <c r="D45" s="82"/>
      <c r="E45" s="82"/>
      <c r="F45" s="70"/>
      <c r="G45" s="79"/>
      <c r="H45" s="82"/>
      <c r="I45" s="82"/>
      <c r="J45" s="70"/>
      <c r="K45" s="79"/>
      <c r="L45" s="82"/>
      <c r="M45" s="82"/>
      <c r="N45" s="83"/>
    </row>
    <row r="46" spans="1:14" s="46" customFormat="1" ht="18" customHeight="1">
      <c r="A46" s="77" t="s">
        <v>128</v>
      </c>
      <c r="B46" s="78" t="s">
        <v>105</v>
      </c>
      <c r="C46" s="79"/>
      <c r="D46" s="82"/>
      <c r="E46" s="82"/>
      <c r="F46" s="70"/>
      <c r="G46" s="79"/>
      <c r="H46" s="82"/>
      <c r="I46" s="82"/>
      <c r="J46" s="70"/>
      <c r="K46" s="79"/>
      <c r="L46" s="82"/>
      <c r="M46" s="82"/>
      <c r="N46" s="70"/>
    </row>
    <row r="47" spans="1:14" s="46" customFormat="1" ht="18" customHeight="1">
      <c r="A47" s="77" t="s">
        <v>129</v>
      </c>
      <c r="B47" s="78" t="s">
        <v>106</v>
      </c>
      <c r="C47" s="79"/>
      <c r="D47" s="82"/>
      <c r="E47" s="82"/>
      <c r="F47" s="70"/>
      <c r="G47" s="79"/>
      <c r="H47" s="82"/>
      <c r="I47" s="82"/>
      <c r="J47" s="70"/>
      <c r="K47" s="79"/>
      <c r="L47" s="82"/>
      <c r="M47" s="82"/>
      <c r="N47" s="70"/>
    </row>
    <row r="48" spans="1:14" s="46" customFormat="1" ht="18" customHeight="1">
      <c r="A48" s="77"/>
      <c r="B48" s="78" t="s">
        <v>107</v>
      </c>
      <c r="C48" s="79"/>
      <c r="D48" s="82"/>
      <c r="E48" s="82"/>
      <c r="F48" s="70"/>
      <c r="G48" s="79"/>
      <c r="H48" s="82"/>
      <c r="I48" s="82"/>
      <c r="J48" s="70"/>
      <c r="K48" s="79"/>
      <c r="L48" s="82"/>
      <c r="M48" s="82"/>
      <c r="N48" s="70"/>
    </row>
    <row r="49" spans="1:14" s="46" customFormat="1" ht="18" customHeight="1">
      <c r="A49" s="77" t="s">
        <v>130</v>
      </c>
      <c r="B49" s="78" t="s">
        <v>108</v>
      </c>
      <c r="C49" s="79"/>
      <c r="D49" s="82"/>
      <c r="E49" s="82"/>
      <c r="F49" s="70"/>
      <c r="G49" s="79"/>
      <c r="H49" s="82"/>
      <c r="I49" s="82"/>
      <c r="J49" s="70"/>
      <c r="K49" s="79"/>
      <c r="L49" s="82"/>
      <c r="M49" s="82"/>
      <c r="N49" s="70"/>
    </row>
    <row r="50" spans="1:14" s="46" customFormat="1" ht="18" customHeight="1">
      <c r="A50" s="77" t="s">
        <v>131</v>
      </c>
      <c r="B50" s="78" t="s">
        <v>109</v>
      </c>
      <c r="C50" s="79"/>
      <c r="D50" s="82"/>
      <c r="E50" s="82"/>
      <c r="F50" s="70"/>
      <c r="G50" s="79"/>
      <c r="H50" s="82"/>
      <c r="I50" s="82"/>
      <c r="J50" s="70"/>
      <c r="K50" s="79"/>
      <c r="L50" s="82"/>
      <c r="M50" s="82"/>
      <c r="N50" s="70"/>
    </row>
    <row r="51" spans="1:14" s="46" customFormat="1" ht="18" customHeight="1">
      <c r="A51" s="77"/>
      <c r="B51" s="78" t="s">
        <v>132</v>
      </c>
      <c r="C51" s="79"/>
      <c r="D51" s="82"/>
      <c r="E51" s="82"/>
      <c r="F51" s="70"/>
      <c r="G51" s="79"/>
      <c r="H51" s="82"/>
      <c r="I51" s="82"/>
      <c r="J51" s="70"/>
      <c r="K51" s="79"/>
      <c r="L51" s="82"/>
      <c r="M51" s="82"/>
      <c r="N51" s="70"/>
    </row>
    <row r="52" spans="1:14" s="46" customFormat="1" ht="18" customHeight="1">
      <c r="A52" s="77" t="s">
        <v>133</v>
      </c>
      <c r="B52" s="78" t="s">
        <v>134</v>
      </c>
      <c r="C52" s="79"/>
      <c r="D52" s="82"/>
      <c r="E52" s="82"/>
      <c r="F52" s="70"/>
      <c r="G52" s="79"/>
      <c r="H52" s="82"/>
      <c r="I52" s="82"/>
      <c r="J52" s="70"/>
      <c r="K52" s="79"/>
      <c r="L52" s="82"/>
      <c r="M52" s="82"/>
      <c r="N52" s="70"/>
    </row>
    <row r="53" spans="1:14" s="46" customFormat="1" ht="18" customHeight="1">
      <c r="A53" s="77" t="s">
        <v>135</v>
      </c>
      <c r="B53" s="78" t="s">
        <v>136</v>
      </c>
      <c r="C53" s="79"/>
      <c r="D53" s="82"/>
      <c r="E53" s="82"/>
      <c r="F53" s="70"/>
      <c r="G53" s="79"/>
      <c r="H53" s="82"/>
      <c r="I53" s="82"/>
      <c r="J53" s="70"/>
      <c r="K53" s="79"/>
      <c r="L53" s="82"/>
      <c r="M53" s="82"/>
      <c r="N53" s="70"/>
    </row>
    <row r="54" spans="1:14" s="46" customFormat="1" ht="18" customHeight="1">
      <c r="A54" s="77"/>
      <c r="B54" s="78" t="s">
        <v>114</v>
      </c>
      <c r="C54" s="79"/>
      <c r="D54" s="82"/>
      <c r="E54" s="82"/>
      <c r="F54" s="70"/>
      <c r="G54" s="79"/>
      <c r="H54" s="82"/>
      <c r="I54" s="82"/>
      <c r="J54" s="70"/>
      <c r="K54" s="79"/>
      <c r="L54" s="82"/>
      <c r="M54" s="82"/>
      <c r="N54" s="70"/>
    </row>
    <row r="55" spans="1:14" s="46" customFormat="1" ht="18" customHeight="1">
      <c r="A55" s="77" t="s">
        <v>137</v>
      </c>
      <c r="B55" s="78" t="s">
        <v>116</v>
      </c>
      <c r="C55" s="79"/>
      <c r="D55" s="82"/>
      <c r="E55" s="82"/>
      <c r="F55" s="70"/>
      <c r="G55" s="79"/>
      <c r="H55" s="82"/>
      <c r="I55" s="82"/>
      <c r="J55" s="70"/>
      <c r="K55" s="79"/>
      <c r="L55" s="82"/>
      <c r="M55" s="82"/>
      <c r="N55" s="70"/>
    </row>
    <row r="56" spans="1:14" s="46" customFormat="1" ht="18" customHeight="1">
      <c r="A56" s="77" t="s">
        <v>138</v>
      </c>
      <c r="B56" s="78" t="s">
        <v>118</v>
      </c>
      <c r="C56" s="79"/>
      <c r="D56" s="82"/>
      <c r="E56" s="82"/>
      <c r="F56" s="70"/>
      <c r="G56" s="79"/>
      <c r="H56" s="82"/>
      <c r="I56" s="82"/>
      <c r="J56" s="70"/>
      <c r="K56" s="79"/>
      <c r="L56" s="82"/>
      <c r="M56" s="82"/>
      <c r="N56" s="70"/>
    </row>
    <row r="57" spans="1:14" s="46" customFormat="1" ht="18" customHeight="1">
      <c r="A57" s="77"/>
      <c r="B57" s="78" t="s">
        <v>119</v>
      </c>
      <c r="C57" s="79"/>
      <c r="D57" s="82"/>
      <c r="E57" s="82"/>
      <c r="F57" s="70"/>
      <c r="G57" s="79"/>
      <c r="H57" s="82"/>
      <c r="I57" s="82"/>
      <c r="J57" s="70"/>
      <c r="K57" s="79"/>
      <c r="L57" s="82"/>
      <c r="M57" s="82"/>
      <c r="N57" s="70"/>
    </row>
    <row r="58" spans="1:14" s="46" customFormat="1" ht="18" customHeight="1">
      <c r="A58" s="77" t="s">
        <v>139</v>
      </c>
      <c r="B58" s="78" t="s">
        <v>108</v>
      </c>
      <c r="C58" s="79"/>
      <c r="D58" s="82"/>
      <c r="E58" s="82"/>
      <c r="F58" s="70"/>
      <c r="G58" s="79"/>
      <c r="H58" s="82"/>
      <c r="I58" s="82"/>
      <c r="J58" s="70"/>
      <c r="K58" s="79"/>
      <c r="L58" s="82"/>
      <c r="M58" s="82"/>
      <c r="N58" s="70"/>
    </row>
    <row r="59" spans="1:14" s="46" customFormat="1" ht="18" customHeight="1">
      <c r="A59" s="77" t="s">
        <v>140</v>
      </c>
      <c r="B59" s="78" t="s">
        <v>141</v>
      </c>
      <c r="C59" s="79"/>
      <c r="D59" s="82"/>
      <c r="E59" s="82"/>
      <c r="F59" s="70"/>
      <c r="G59" s="79"/>
      <c r="H59" s="82"/>
      <c r="I59" s="82"/>
      <c r="J59" s="70"/>
      <c r="K59" s="79"/>
      <c r="L59" s="82"/>
      <c r="M59" s="82"/>
      <c r="N59" s="70"/>
    </row>
    <row r="60" spans="1:14" s="46" customFormat="1" ht="18" customHeight="1">
      <c r="A60" s="77" t="s">
        <v>142</v>
      </c>
      <c r="B60" s="78" t="s">
        <v>109</v>
      </c>
      <c r="C60" s="79"/>
      <c r="D60" s="82"/>
      <c r="E60" s="82"/>
      <c r="F60" s="70"/>
      <c r="G60" s="79"/>
      <c r="H60" s="82"/>
      <c r="I60" s="82"/>
      <c r="J60" s="70"/>
      <c r="K60" s="79"/>
      <c r="L60" s="82"/>
      <c r="M60" s="82"/>
      <c r="N60" s="70"/>
    </row>
    <row r="61" spans="1:14" s="46" customFormat="1" ht="18" customHeight="1">
      <c r="A61" s="77" t="s">
        <v>143</v>
      </c>
      <c r="B61" s="78" t="s">
        <v>125</v>
      </c>
      <c r="C61" s="79"/>
      <c r="D61" s="82"/>
      <c r="E61" s="82"/>
      <c r="F61" s="70"/>
      <c r="G61" s="79"/>
      <c r="H61" s="82"/>
      <c r="I61" s="82"/>
      <c r="J61" s="70"/>
      <c r="K61" s="79"/>
      <c r="L61" s="82"/>
      <c r="M61" s="82"/>
      <c r="N61" s="70"/>
    </row>
    <row r="62" spans="1:14" s="46" customFormat="1" ht="18" customHeight="1">
      <c r="A62" s="77"/>
      <c r="B62" s="78" t="s">
        <v>132</v>
      </c>
      <c r="C62" s="79"/>
      <c r="D62" s="82"/>
      <c r="E62" s="82"/>
      <c r="F62" s="70"/>
      <c r="G62" s="79"/>
      <c r="H62" s="82"/>
      <c r="I62" s="82"/>
      <c r="J62" s="70"/>
      <c r="K62" s="79"/>
      <c r="L62" s="82"/>
      <c r="M62" s="82"/>
      <c r="N62" s="70"/>
    </row>
    <row r="63" spans="1:14" s="46" customFormat="1" ht="18" customHeight="1">
      <c r="A63" s="77" t="s">
        <v>144</v>
      </c>
      <c r="B63" s="78" t="s">
        <v>145</v>
      </c>
      <c r="C63" s="79"/>
      <c r="D63" s="82"/>
      <c r="E63" s="82"/>
      <c r="F63" s="70"/>
      <c r="G63" s="79"/>
      <c r="H63" s="82"/>
      <c r="I63" s="82"/>
      <c r="J63" s="70"/>
      <c r="K63" s="79"/>
      <c r="L63" s="82"/>
      <c r="M63" s="82"/>
      <c r="N63" s="70"/>
    </row>
    <row r="64" spans="1:14" s="46" customFormat="1" ht="18" customHeight="1">
      <c r="A64" s="77" t="s">
        <v>146</v>
      </c>
      <c r="B64" s="87" t="s">
        <v>147</v>
      </c>
      <c r="C64" s="79"/>
      <c r="D64" s="82"/>
      <c r="E64" s="82"/>
      <c r="F64" s="70"/>
      <c r="G64" s="79"/>
      <c r="H64" s="82"/>
      <c r="I64" s="82"/>
      <c r="J64" s="70"/>
      <c r="K64" s="79"/>
      <c r="L64" s="82"/>
      <c r="M64" s="82"/>
      <c r="N64" s="70"/>
    </row>
    <row r="65" spans="1:14" s="46" customFormat="1" ht="18" customHeight="1">
      <c r="A65" s="77" t="s">
        <v>148</v>
      </c>
      <c r="B65" s="87" t="s">
        <v>149</v>
      </c>
      <c r="C65" s="79"/>
      <c r="D65" s="82"/>
      <c r="E65" s="82"/>
      <c r="F65" s="70"/>
      <c r="G65" s="79"/>
      <c r="H65" s="82"/>
      <c r="I65" s="82"/>
      <c r="J65" s="70"/>
      <c r="K65" s="79"/>
      <c r="L65" s="82"/>
      <c r="M65" s="82"/>
      <c r="N65" s="70"/>
    </row>
    <row r="66" spans="1:14" s="46" customFormat="1" ht="18" customHeight="1">
      <c r="A66" s="77" t="s">
        <v>150</v>
      </c>
      <c r="B66" s="87" t="s">
        <v>151</v>
      </c>
      <c r="C66" s="79"/>
      <c r="D66" s="82"/>
      <c r="E66" s="82"/>
      <c r="F66" s="70"/>
      <c r="G66" s="79"/>
      <c r="H66" s="82"/>
      <c r="I66" s="82"/>
      <c r="J66" s="70"/>
      <c r="K66" s="79"/>
      <c r="L66" s="82"/>
      <c r="M66" s="82"/>
      <c r="N66" s="70"/>
    </row>
    <row r="67" spans="1:14" s="46" customFormat="1" ht="18" customHeight="1">
      <c r="A67" s="77" t="s">
        <v>152</v>
      </c>
      <c r="B67" s="87" t="s">
        <v>153</v>
      </c>
      <c r="C67" s="79"/>
      <c r="D67" s="82"/>
      <c r="E67" s="82"/>
      <c r="F67" s="70"/>
      <c r="G67" s="79"/>
      <c r="H67" s="82"/>
      <c r="I67" s="82"/>
      <c r="J67" s="70"/>
      <c r="K67" s="79"/>
      <c r="L67" s="82"/>
      <c r="M67" s="82"/>
      <c r="N67" s="70"/>
    </row>
    <row r="68" spans="1:14" ht="18" customHeight="1">
      <c r="A68" s="88" t="s">
        <v>154</v>
      </c>
      <c r="B68" s="89" t="s">
        <v>155</v>
      </c>
      <c r="C68" s="74">
        <f>'П1.4'!E16</f>
        <v>276917.53700000001</v>
      </c>
      <c r="D68" s="76"/>
      <c r="E68" s="76">
        <f>'П1.5'!E7</f>
        <v>70.567999999999998</v>
      </c>
      <c r="F68" s="70"/>
      <c r="G68" s="74">
        <f>'П1.4'!J7</f>
        <v>274650.67</v>
      </c>
      <c r="H68" s="76"/>
      <c r="I68" s="76">
        <f>'П1.5'!J7</f>
        <v>72.171999999999997</v>
      </c>
      <c r="J68" s="70"/>
      <c r="K68" s="74">
        <f>C68+G68</f>
        <v>551568.20699999994</v>
      </c>
      <c r="L68" s="76"/>
      <c r="M68" s="76">
        <f>'П1.5'!O7</f>
        <v>71.369000000000014</v>
      </c>
      <c r="N68" s="70"/>
    </row>
    <row r="69" spans="1:14" s="46" customFormat="1" ht="18" customHeight="1">
      <c r="A69" s="77"/>
      <c r="B69" s="78" t="s">
        <v>107</v>
      </c>
      <c r="C69" s="79"/>
      <c r="D69" s="82"/>
      <c r="E69" s="82"/>
      <c r="F69" s="81"/>
      <c r="G69" s="79"/>
      <c r="H69" s="82"/>
      <c r="I69" s="82"/>
      <c r="J69" s="81"/>
      <c r="K69" s="79"/>
      <c r="L69" s="82"/>
      <c r="M69" s="82"/>
      <c r="N69" s="81"/>
    </row>
    <row r="70" spans="1:14" ht="18" customHeight="1">
      <c r="A70" s="88" t="s">
        <v>156</v>
      </c>
      <c r="B70" s="89" t="s">
        <v>157</v>
      </c>
      <c r="C70" s="74">
        <v>0</v>
      </c>
      <c r="D70" s="76"/>
      <c r="E70" s="76">
        <v>0</v>
      </c>
      <c r="F70" s="70"/>
      <c r="G70" s="74">
        <v>0</v>
      </c>
      <c r="H70" s="76"/>
      <c r="I70" s="76">
        <v>0</v>
      </c>
      <c r="J70" s="70"/>
      <c r="K70" s="74">
        <f>C70+G70</f>
        <v>0</v>
      </c>
      <c r="L70" s="76"/>
      <c r="M70" s="76">
        <v>0</v>
      </c>
      <c r="N70" s="70"/>
    </row>
    <row r="71" spans="1:14" ht="18" customHeight="1">
      <c r="A71" s="88" t="s">
        <v>158</v>
      </c>
      <c r="B71" s="89" t="s">
        <v>106</v>
      </c>
      <c r="C71" s="74">
        <f>C68</f>
        <v>276917.53700000001</v>
      </c>
      <c r="D71" s="76"/>
      <c r="E71" s="76">
        <f>E68</f>
        <v>70.567999999999998</v>
      </c>
      <c r="F71" s="70"/>
      <c r="G71" s="74">
        <f>G68</f>
        <v>274650.67</v>
      </c>
      <c r="H71" s="76"/>
      <c r="I71" s="76">
        <f>I68</f>
        <v>72.171999999999997</v>
      </c>
      <c r="J71" s="70"/>
      <c r="K71" s="74">
        <f>C71+G71</f>
        <v>551568.20699999994</v>
      </c>
      <c r="L71" s="76"/>
      <c r="M71" s="76">
        <f>M68</f>
        <v>71.369000000000014</v>
      </c>
      <c r="N71" s="70"/>
    </row>
    <row r="72" spans="1:14" s="46" customFormat="1" ht="18" customHeight="1">
      <c r="A72" s="77"/>
      <c r="B72" s="78" t="s">
        <v>107</v>
      </c>
      <c r="C72" s="79"/>
      <c r="D72" s="82"/>
      <c r="E72" s="82"/>
      <c r="F72" s="81"/>
      <c r="G72" s="79"/>
      <c r="H72" s="82"/>
      <c r="I72" s="82"/>
      <c r="J72" s="81"/>
      <c r="K72" s="79"/>
      <c r="L72" s="82"/>
      <c r="M72" s="82"/>
      <c r="N72" s="81"/>
    </row>
    <row r="73" spans="1:14" s="46" customFormat="1" ht="18" customHeight="1">
      <c r="A73" s="72" t="s">
        <v>159</v>
      </c>
      <c r="B73" s="73" t="str">
        <f>B12</f>
        <v>ПАО "ФСК ЕЭС"</v>
      </c>
      <c r="C73" s="74">
        <f>C12</f>
        <v>17492.262999999999</v>
      </c>
      <c r="D73" s="76"/>
      <c r="E73" s="76">
        <f>E12</f>
        <v>5.6</v>
      </c>
      <c r="F73" s="70"/>
      <c r="G73" s="74">
        <f>G12</f>
        <v>18227.12</v>
      </c>
      <c r="H73" s="76"/>
      <c r="I73" s="76">
        <f>I12</f>
        <v>5.6</v>
      </c>
      <c r="J73" s="70"/>
      <c r="K73" s="74">
        <f>C73+G73</f>
        <v>35719.383000000002</v>
      </c>
      <c r="L73" s="76"/>
      <c r="M73" s="76">
        <f>M12</f>
        <v>5.6</v>
      </c>
      <c r="N73" s="70"/>
    </row>
    <row r="74" spans="1:14" s="46" customFormat="1" ht="18" customHeight="1">
      <c r="A74" s="72" t="s">
        <v>160</v>
      </c>
      <c r="B74" s="73" t="str">
        <f>B13</f>
        <v>ПАО "Россети Сибирь"-"Кузбассэнерго-РЭС"</v>
      </c>
      <c r="C74" s="74">
        <f>C68-C73-C75</f>
        <v>226485.49400000001</v>
      </c>
      <c r="D74" s="76"/>
      <c r="E74" s="76">
        <f>E68-E73-E75</f>
        <v>57.325000000000003</v>
      </c>
      <c r="F74" s="70"/>
      <c r="G74" s="74">
        <f>G68-G73-G75</f>
        <v>224311.79299999998</v>
      </c>
      <c r="H74" s="76"/>
      <c r="I74" s="76">
        <f>I68-I73-I75</f>
        <v>58.772000000000006</v>
      </c>
      <c r="J74" s="70"/>
      <c r="K74" s="74">
        <f>C74+G74</f>
        <v>450797.28700000001</v>
      </c>
      <c r="L74" s="76"/>
      <c r="M74" s="76">
        <v>58.046999999999997</v>
      </c>
      <c r="N74" s="70"/>
    </row>
    <row r="75" spans="1:14" s="46" customFormat="1" ht="18" customHeight="1">
      <c r="A75" s="72" t="s">
        <v>161</v>
      </c>
      <c r="B75" s="73" t="str">
        <f>B14</f>
        <v>АО "Электросеть"</v>
      </c>
      <c r="C75" s="74">
        <f>C14</f>
        <v>32939.78</v>
      </c>
      <c r="D75" s="76"/>
      <c r="E75" s="76">
        <f>E14</f>
        <v>7.6429999999999998</v>
      </c>
      <c r="F75" s="70"/>
      <c r="G75" s="74">
        <f>G14</f>
        <v>32111.757000000001</v>
      </c>
      <c r="H75" s="76"/>
      <c r="I75" s="76">
        <f>I14</f>
        <v>7.8</v>
      </c>
      <c r="J75" s="70"/>
      <c r="K75" s="74">
        <f>C75+G75</f>
        <v>65051.536999999997</v>
      </c>
      <c r="L75" s="76"/>
      <c r="M75" s="76">
        <f>M14</f>
        <v>7.7210000000000001</v>
      </c>
      <c r="N75" s="70"/>
    </row>
    <row r="76" spans="1:14" s="46" customFormat="1" ht="18" customHeight="1">
      <c r="A76" s="88" t="s">
        <v>162</v>
      </c>
      <c r="B76" s="89" t="s">
        <v>134</v>
      </c>
      <c r="C76" s="74">
        <f>'П1.4'!E22</f>
        <v>4455.692</v>
      </c>
      <c r="D76" s="76"/>
      <c r="E76" s="76">
        <f>'П1.5'!E22</f>
        <v>1.1879999999999999</v>
      </c>
      <c r="F76" s="70"/>
      <c r="G76" s="74">
        <f>'П1.4'!J22</f>
        <v>4498.8819999999996</v>
      </c>
      <c r="H76" s="76"/>
      <c r="I76" s="76">
        <f>'П1.5'!J22</f>
        <v>1.19</v>
      </c>
      <c r="J76" s="70"/>
      <c r="K76" s="74">
        <f>C76+G76</f>
        <v>8954.5740000000005</v>
      </c>
      <c r="L76" s="76"/>
      <c r="M76" s="76">
        <f>'П1.5'!O22</f>
        <v>1.1890000000000001</v>
      </c>
      <c r="N76" s="70"/>
    </row>
    <row r="77" spans="1:14" s="46" customFormat="1" ht="18" customHeight="1">
      <c r="A77" s="88" t="s">
        <v>24</v>
      </c>
      <c r="B77" s="89" t="s">
        <v>136</v>
      </c>
      <c r="C77" s="74">
        <f>'П1.4'!E30+'П1.4'!E29</f>
        <v>106078.693</v>
      </c>
      <c r="D77" s="76"/>
      <c r="E77" s="76">
        <f>'П1.5'!E29+'П1.5'!E30</f>
        <v>28.813000000000002</v>
      </c>
      <c r="F77" s="70"/>
      <c r="G77" s="74">
        <f>'П1.4'!J29+'П1.4'!J30</f>
        <v>104070.31200000001</v>
      </c>
      <c r="H77" s="76"/>
      <c r="I77" s="76">
        <f>'П1.5'!J29+'П1.5'!J30</f>
        <v>27.954000000000001</v>
      </c>
      <c r="J77" s="70"/>
      <c r="K77" s="74">
        <f>C77+G77</f>
        <v>210149.005</v>
      </c>
      <c r="L77" s="76"/>
      <c r="M77" s="76">
        <v>28.384</v>
      </c>
      <c r="N77" s="70"/>
    </row>
    <row r="78" spans="1:14" s="46" customFormat="1" ht="18" customHeight="1">
      <c r="A78" s="77"/>
      <c r="B78" s="78" t="s">
        <v>114</v>
      </c>
      <c r="C78" s="79"/>
      <c r="D78" s="82"/>
      <c r="E78" s="82"/>
      <c r="F78" s="81"/>
      <c r="G78" s="79"/>
      <c r="H78" s="82"/>
      <c r="I78" s="82"/>
      <c r="J78" s="81"/>
      <c r="K78" s="79"/>
      <c r="L78" s="82"/>
      <c r="M78" s="82"/>
      <c r="N78" s="81"/>
    </row>
    <row r="79" spans="1:14" s="46" customFormat="1" ht="18" customHeight="1">
      <c r="A79" s="88" t="s">
        <v>163</v>
      </c>
      <c r="B79" s="89" t="s">
        <v>116</v>
      </c>
      <c r="C79" s="74">
        <f>'П1.4'!E33</f>
        <v>100161.52800000001</v>
      </c>
      <c r="D79" s="76"/>
      <c r="E79" s="76">
        <f>'П1.5'!E33</f>
        <v>26.832000000000001</v>
      </c>
      <c r="F79" s="70"/>
      <c r="G79" s="74">
        <f>'П1.4'!J33</f>
        <v>97595.822</v>
      </c>
      <c r="H79" s="76"/>
      <c r="I79" s="76">
        <f>'П1.5'!J33</f>
        <v>25.748000000000001</v>
      </c>
      <c r="J79" s="70"/>
      <c r="K79" s="74">
        <f>C79+G79</f>
        <v>197757.35</v>
      </c>
      <c r="L79" s="76"/>
      <c r="M79" s="76">
        <f>'П1.5'!O33</f>
        <v>26.29</v>
      </c>
      <c r="N79" s="70"/>
    </row>
    <row r="80" spans="1:14" s="46" customFormat="1" ht="18" customHeight="1">
      <c r="A80" s="88" t="s">
        <v>164</v>
      </c>
      <c r="B80" s="89" t="s">
        <v>118</v>
      </c>
      <c r="C80" s="74">
        <f>'П1.4'!E29+'П1.4'!E35</f>
        <v>5917.1650000000009</v>
      </c>
      <c r="D80" s="76"/>
      <c r="E80" s="76">
        <f>'П1.5'!E29+'П1.5'!E36</f>
        <v>1.9810000000000001</v>
      </c>
      <c r="F80" s="70"/>
      <c r="G80" s="74">
        <f>'П1.4'!J29+'П1.4'!J35</f>
        <v>6474.49</v>
      </c>
      <c r="H80" s="76"/>
      <c r="I80" s="76">
        <f>'П1.5'!J29+'П1.5'!J36</f>
        <v>2.206</v>
      </c>
      <c r="J80" s="70"/>
      <c r="K80" s="74">
        <f>C80+G80</f>
        <v>12391.655000000001</v>
      </c>
      <c r="L80" s="76"/>
      <c r="M80" s="76">
        <f>+'П1.5'!O36+'П1.5'!O29</f>
        <v>2.0924999999999998</v>
      </c>
      <c r="N80" s="70"/>
    </row>
    <row r="81" spans="1:14" s="46" customFormat="1" ht="18" customHeight="1">
      <c r="A81" s="77"/>
      <c r="B81" s="78" t="s">
        <v>119</v>
      </c>
      <c r="C81" s="79"/>
      <c r="D81" s="82"/>
      <c r="E81" s="82"/>
      <c r="F81" s="81"/>
      <c r="G81" s="79"/>
      <c r="H81" s="82"/>
      <c r="I81" s="82"/>
      <c r="J81" s="81"/>
      <c r="K81" s="79"/>
      <c r="L81" s="82"/>
      <c r="M81" s="82"/>
      <c r="N81" s="81"/>
    </row>
    <row r="82" spans="1:14" s="46" customFormat="1" ht="18" customHeight="1">
      <c r="A82" s="72" t="s">
        <v>165</v>
      </c>
      <c r="B82" s="73" t="str">
        <f>B73</f>
        <v>ПАО "ФСК ЕЭС"</v>
      </c>
      <c r="C82" s="74">
        <v>0</v>
      </c>
      <c r="D82" s="76"/>
      <c r="E82" s="76">
        <v>0</v>
      </c>
      <c r="F82" s="70"/>
      <c r="G82" s="74">
        <v>0</v>
      </c>
      <c r="H82" s="76"/>
      <c r="I82" s="76">
        <v>0</v>
      </c>
      <c r="J82" s="70"/>
      <c r="K82" s="74">
        <f>C82+G82</f>
        <v>0</v>
      </c>
      <c r="L82" s="76"/>
      <c r="M82" s="76">
        <v>0</v>
      </c>
      <c r="N82" s="70"/>
    </row>
    <row r="83" spans="1:14" s="46" customFormat="1" ht="18" customHeight="1">
      <c r="A83" s="72" t="s">
        <v>166</v>
      </c>
      <c r="B83" s="73" t="s">
        <v>167</v>
      </c>
      <c r="C83" s="74">
        <f>C82-C73</f>
        <v>-17492.262999999999</v>
      </c>
      <c r="D83" s="76"/>
      <c r="E83" s="76">
        <f>E82-E73</f>
        <v>-5.6</v>
      </c>
      <c r="F83" s="86"/>
      <c r="G83" s="74">
        <f>G82-G73</f>
        <v>-18227.12</v>
      </c>
      <c r="H83" s="76"/>
      <c r="I83" s="76">
        <f>I82-I73</f>
        <v>-5.6</v>
      </c>
      <c r="J83" s="86"/>
      <c r="K83" s="74">
        <f>C83+G83</f>
        <v>-35719.383000000002</v>
      </c>
      <c r="L83" s="76"/>
      <c r="M83" s="76">
        <f>M82-M73</f>
        <v>-5.6</v>
      </c>
      <c r="N83" s="86"/>
    </row>
    <row r="84" spans="1:14" s="46" customFormat="1" ht="18" customHeight="1">
      <c r="A84" s="72" t="s">
        <v>168</v>
      </c>
      <c r="B84" s="73" t="str">
        <f>B74</f>
        <v>ПАО "Россети Сибирь"-"Кузбассэнерго-РЭС"</v>
      </c>
      <c r="C84" s="74">
        <f>'П1.6'!D34</f>
        <v>0</v>
      </c>
      <c r="D84" s="76"/>
      <c r="E84" s="76">
        <f>'П1.6'!I34</f>
        <v>0</v>
      </c>
      <c r="F84" s="86"/>
      <c r="G84" s="74">
        <f>'П1.6'!D74</f>
        <v>0</v>
      </c>
      <c r="H84" s="76"/>
      <c r="I84" s="76">
        <f>'П1.6'!I74</f>
        <v>0</v>
      </c>
      <c r="J84" s="86"/>
      <c r="K84" s="74">
        <f>C84+G84</f>
        <v>0</v>
      </c>
      <c r="L84" s="76"/>
      <c r="M84" s="76">
        <f>'П1.6'!I113</f>
        <v>0</v>
      </c>
      <c r="N84" s="86"/>
    </row>
    <row r="85" spans="1:14" s="46" customFormat="1" ht="18" customHeight="1">
      <c r="A85" s="72" t="s">
        <v>169</v>
      </c>
      <c r="B85" s="73" t="s">
        <v>170</v>
      </c>
      <c r="C85" s="74">
        <f>C84-C74</f>
        <v>-226485.49400000001</v>
      </c>
      <c r="D85" s="76"/>
      <c r="E85" s="76">
        <f>E84-E74</f>
        <v>-57.325000000000003</v>
      </c>
      <c r="F85" s="86"/>
      <c r="G85" s="74">
        <f>G84-G74</f>
        <v>-224311.79299999998</v>
      </c>
      <c r="H85" s="76"/>
      <c r="I85" s="76">
        <f>I84-I74</f>
        <v>-58.772000000000006</v>
      </c>
      <c r="J85" s="86"/>
      <c r="K85" s="74">
        <f>C85+G85</f>
        <v>-450797.28700000001</v>
      </c>
      <c r="L85" s="76"/>
      <c r="M85" s="76">
        <f>M84-M74</f>
        <v>-58.046999999999997</v>
      </c>
      <c r="N85" s="86"/>
    </row>
    <row r="86" spans="1:14" s="46" customFormat="1" ht="18" customHeight="1">
      <c r="A86" s="72" t="s">
        <v>171</v>
      </c>
      <c r="B86" s="85" t="str">
        <f>B75</f>
        <v>АО "Электросеть"</v>
      </c>
      <c r="C86" s="74">
        <f>C28</f>
        <v>5692.5870000000004</v>
      </c>
      <c r="D86" s="74"/>
      <c r="E86" s="74">
        <f>E28</f>
        <v>1.905</v>
      </c>
      <c r="F86" s="86"/>
      <c r="G86" s="74">
        <f>G28</f>
        <v>6316.634</v>
      </c>
      <c r="H86" s="74"/>
      <c r="I86" s="74">
        <f>I28</f>
        <v>2.153</v>
      </c>
      <c r="J86" s="86"/>
      <c r="K86" s="74">
        <f>K28</f>
        <v>12009.221000000001</v>
      </c>
      <c r="L86" s="74"/>
      <c r="M86" s="74">
        <f>M28</f>
        <v>2.0289999999999999</v>
      </c>
      <c r="N86" s="86"/>
    </row>
    <row r="87" spans="1:14" s="46" customFormat="1" ht="18" customHeight="1">
      <c r="A87" s="72" t="s">
        <v>172</v>
      </c>
      <c r="B87" s="85" t="s">
        <v>173</v>
      </c>
      <c r="C87" s="74">
        <f>C86-C75</f>
        <v>-27247.192999999999</v>
      </c>
      <c r="D87" s="76"/>
      <c r="E87" s="76">
        <f>E86-E75</f>
        <v>-5.7379999999999995</v>
      </c>
      <c r="F87" s="86"/>
      <c r="G87" s="74">
        <f>G86-G75</f>
        <v>-25795.123</v>
      </c>
      <c r="H87" s="76"/>
      <c r="I87" s="76">
        <f>I86-I75</f>
        <v>-5.6470000000000002</v>
      </c>
      <c r="J87" s="86"/>
      <c r="K87" s="74">
        <f>C87+G87</f>
        <v>-53042.315999999999</v>
      </c>
      <c r="L87" s="76"/>
      <c r="M87" s="76">
        <f>M86-M75</f>
        <v>-5.6920000000000002</v>
      </c>
      <c r="N87" s="86"/>
    </row>
    <row r="88" spans="1:14" s="46" customFormat="1" ht="18" customHeight="1">
      <c r="A88" s="72" t="s">
        <v>250</v>
      </c>
      <c r="B88" s="85" t="s">
        <v>230</v>
      </c>
      <c r="C88" s="74">
        <f>'П1.4'!E29</f>
        <v>224.578</v>
      </c>
      <c r="D88" s="76"/>
      <c r="E88" s="76">
        <f>'П1.5'!E29</f>
        <v>7.5999999999999998E-2</v>
      </c>
      <c r="F88" s="86"/>
      <c r="G88" s="74">
        <f>'П1.4'!J29</f>
        <v>157.85599999999999</v>
      </c>
      <c r="H88" s="76"/>
      <c r="I88" s="76">
        <f>'П1.5'!J29</f>
        <v>5.2999999999999999E-2</v>
      </c>
      <c r="J88" s="86"/>
      <c r="K88" s="74">
        <f>C88+G88</f>
        <v>382.43399999999997</v>
      </c>
      <c r="L88" s="76"/>
      <c r="M88" s="76">
        <f>'П1.5'!O29</f>
        <v>6.3500000000000001E-2</v>
      </c>
      <c r="N88" s="86"/>
    </row>
    <row r="89" spans="1:14" s="46" customFormat="1" ht="18" customHeight="1">
      <c r="A89" s="88" t="s">
        <v>174</v>
      </c>
      <c r="B89" s="89" t="s">
        <v>175</v>
      </c>
      <c r="C89" s="74"/>
      <c r="D89" s="76"/>
      <c r="E89" s="76"/>
      <c r="F89" s="70"/>
      <c r="G89" s="74"/>
      <c r="H89" s="76"/>
      <c r="I89" s="76"/>
      <c r="J89" s="70"/>
      <c r="K89" s="74"/>
      <c r="L89" s="76"/>
      <c r="M89" s="76"/>
      <c r="N89" s="70"/>
    </row>
    <row r="90" spans="1:14" s="46" customFormat="1" ht="18" customHeight="1">
      <c r="A90" s="88" t="s">
        <v>176</v>
      </c>
      <c r="B90" s="148" t="s">
        <v>149</v>
      </c>
      <c r="C90" s="74">
        <f>C68-C76-C79-C80</f>
        <v>166383.15200000003</v>
      </c>
      <c r="D90" s="76"/>
      <c r="E90" s="76">
        <f>E68-E76-E79-E80</f>
        <v>40.566999999999993</v>
      </c>
      <c r="F90" s="70"/>
      <c r="G90" s="74">
        <f>G68-G76-G79-G80</f>
        <v>166081.47600000002</v>
      </c>
      <c r="H90" s="76"/>
      <c r="I90" s="76">
        <f>I68-I76-I79-I80</f>
        <v>43.027999999999992</v>
      </c>
      <c r="J90" s="70"/>
      <c r="K90" s="74">
        <f>C90+G90</f>
        <v>332464.62800000003</v>
      </c>
      <c r="L90" s="76"/>
      <c r="M90" s="76">
        <v>41.796999999999997</v>
      </c>
      <c r="N90" s="70"/>
    </row>
    <row r="91" spans="1:14" s="46" customFormat="1" ht="18" customHeight="1">
      <c r="A91" s="88" t="s">
        <v>177</v>
      </c>
      <c r="B91" s="148" t="s">
        <v>151</v>
      </c>
      <c r="C91" s="74"/>
      <c r="D91" s="76"/>
      <c r="E91" s="76"/>
      <c r="F91" s="70"/>
      <c r="G91" s="74"/>
      <c r="H91" s="76"/>
      <c r="I91" s="76"/>
      <c r="J91" s="70"/>
      <c r="K91" s="74"/>
      <c r="L91" s="76"/>
      <c r="M91" s="76"/>
      <c r="N91" s="70"/>
    </row>
    <row r="92" spans="1:14" s="46" customFormat="1" ht="18" customHeight="1">
      <c r="A92" s="88" t="s">
        <v>178</v>
      </c>
      <c r="B92" s="148" t="s">
        <v>153</v>
      </c>
      <c r="C92" s="74"/>
      <c r="D92" s="76"/>
      <c r="E92" s="76"/>
      <c r="F92" s="70"/>
      <c r="G92" s="74"/>
      <c r="H92" s="76"/>
      <c r="I92" s="76"/>
      <c r="J92" s="70"/>
      <c r="K92" s="74"/>
      <c r="L92" s="76"/>
      <c r="M92" s="76"/>
      <c r="N92" s="70"/>
    </row>
    <row r="93" spans="1:14" s="46" customFormat="1" ht="18" customHeight="1">
      <c r="A93" s="88" t="s">
        <v>179</v>
      </c>
      <c r="B93" s="89" t="s">
        <v>180</v>
      </c>
      <c r="C93" s="74">
        <f>'П1.4'!F7</f>
        <v>194927.92900000006</v>
      </c>
      <c r="D93" s="76"/>
      <c r="E93" s="76">
        <f>'П1.5'!F7</f>
        <v>51.795000000000002</v>
      </c>
      <c r="F93" s="70"/>
      <c r="G93" s="74">
        <f>'П1.4'!K7</f>
        <v>207718.71299999999</v>
      </c>
      <c r="H93" s="76"/>
      <c r="I93" s="76">
        <f>'П1.5'!K7</f>
        <v>54.762999999999998</v>
      </c>
      <c r="J93" s="70"/>
      <c r="K93" s="74">
        <f>C93+G93</f>
        <v>402646.64200000005</v>
      </c>
      <c r="L93" s="76"/>
      <c r="M93" s="76">
        <f>'П1.5'!P7</f>
        <v>53.279000000000003</v>
      </c>
      <c r="N93" s="70"/>
    </row>
    <row r="94" spans="1:14" s="46" customFormat="1" ht="18" customHeight="1">
      <c r="A94" s="77"/>
      <c r="B94" s="78" t="s">
        <v>107</v>
      </c>
      <c r="C94" s="79"/>
      <c r="D94" s="82"/>
      <c r="E94" s="82"/>
      <c r="F94" s="81"/>
      <c r="G94" s="79"/>
      <c r="H94" s="82"/>
      <c r="I94" s="82"/>
      <c r="J94" s="81"/>
      <c r="K94" s="79"/>
      <c r="L94" s="82"/>
      <c r="M94" s="82"/>
      <c r="N94" s="81"/>
    </row>
    <row r="95" spans="1:14" s="46" customFormat="1" ht="18" customHeight="1">
      <c r="A95" s="88" t="s">
        <v>181</v>
      </c>
      <c r="B95" s="89" t="s">
        <v>157</v>
      </c>
      <c r="C95" s="74">
        <v>0</v>
      </c>
      <c r="D95" s="76"/>
      <c r="E95" s="76">
        <v>0</v>
      </c>
      <c r="F95" s="70"/>
      <c r="G95" s="74">
        <v>0</v>
      </c>
      <c r="H95" s="76"/>
      <c r="I95" s="76">
        <v>0</v>
      </c>
      <c r="J95" s="70"/>
      <c r="K95" s="74">
        <f>C95+G95</f>
        <v>0</v>
      </c>
      <c r="L95" s="76"/>
      <c r="M95" s="76">
        <v>0</v>
      </c>
      <c r="N95" s="70"/>
    </row>
    <row r="96" spans="1:14" s="46" customFormat="1" ht="18" customHeight="1">
      <c r="A96" s="88" t="s">
        <v>182</v>
      </c>
      <c r="B96" s="89" t="s">
        <v>106</v>
      </c>
      <c r="C96" s="74">
        <f>C93</f>
        <v>194927.92900000006</v>
      </c>
      <c r="D96" s="76"/>
      <c r="E96" s="76">
        <f>E93</f>
        <v>51.795000000000002</v>
      </c>
      <c r="F96" s="70"/>
      <c r="G96" s="74">
        <f>G93</f>
        <v>207718.71299999999</v>
      </c>
      <c r="H96" s="76"/>
      <c r="I96" s="76">
        <f>I93</f>
        <v>54.762999999999998</v>
      </c>
      <c r="J96" s="70"/>
      <c r="K96" s="74">
        <f>C96+G96</f>
        <v>402646.64200000005</v>
      </c>
      <c r="L96" s="76"/>
      <c r="M96" s="76">
        <f>M93</f>
        <v>53.279000000000003</v>
      </c>
      <c r="N96" s="70"/>
    </row>
    <row r="97" spans="1:14" s="46" customFormat="1" ht="18" customHeight="1">
      <c r="A97" s="77"/>
      <c r="B97" s="78" t="s">
        <v>107</v>
      </c>
      <c r="C97" s="79"/>
      <c r="D97" s="82"/>
      <c r="E97" s="82"/>
      <c r="F97" s="81"/>
      <c r="G97" s="79"/>
      <c r="H97" s="82"/>
      <c r="I97" s="82"/>
      <c r="J97" s="81"/>
      <c r="K97" s="79"/>
      <c r="L97" s="82"/>
      <c r="M97" s="82"/>
      <c r="N97" s="81"/>
    </row>
    <row r="98" spans="1:14" s="46" customFormat="1" ht="18" customHeight="1">
      <c r="A98" s="72" t="s">
        <v>183</v>
      </c>
      <c r="B98" s="73" t="str">
        <f>B84</f>
        <v>ПАО "Россети Сибирь"-"Кузбассэнерго-РЭС"</v>
      </c>
      <c r="C98" s="74">
        <f>C96-C99-C100</f>
        <v>28216.554000000033</v>
      </c>
      <c r="D98" s="76"/>
      <c r="E98" s="76">
        <f>E96-E99-E100</f>
        <v>11.096000000000011</v>
      </c>
      <c r="F98" s="70"/>
      <c r="G98" s="74">
        <f>G96-G99-G100</f>
        <v>41333.288999999961</v>
      </c>
      <c r="H98" s="76"/>
      <c r="I98" s="76">
        <f>I96-I99-I100</f>
        <v>11.643000000000008</v>
      </c>
      <c r="J98" s="70"/>
      <c r="K98" s="74">
        <f>C98+G98</f>
        <v>69549.842999999993</v>
      </c>
      <c r="L98" s="76"/>
      <c r="M98" s="76">
        <v>11.369</v>
      </c>
      <c r="N98" s="169"/>
    </row>
    <row r="99" spans="1:14" s="46" customFormat="1" ht="18" customHeight="1">
      <c r="A99" s="72" t="s">
        <v>184</v>
      </c>
      <c r="B99" s="73" t="str">
        <f>B32</f>
        <v>ОАО "РЖД"</v>
      </c>
      <c r="C99" s="74">
        <f>C16</f>
        <v>328.22300000000001</v>
      </c>
      <c r="D99" s="76"/>
      <c r="E99" s="76">
        <f>E16</f>
        <v>0.13200000000000001</v>
      </c>
      <c r="F99" s="70"/>
      <c r="G99" s="74">
        <f>G16</f>
        <v>303.94799999999998</v>
      </c>
      <c r="H99" s="76"/>
      <c r="I99" s="76">
        <f>I16</f>
        <v>9.1999999999999998E-2</v>
      </c>
      <c r="J99" s="70"/>
      <c r="K99" s="74">
        <f>C99+G99</f>
        <v>632.17100000000005</v>
      </c>
      <c r="L99" s="76"/>
      <c r="M99" s="76">
        <f>M16</f>
        <v>0.112</v>
      </c>
      <c r="N99" s="70"/>
    </row>
    <row r="100" spans="1:14" s="46" customFormat="1" ht="18" customHeight="1">
      <c r="A100" s="72" t="s">
        <v>185</v>
      </c>
      <c r="B100" s="73" t="str">
        <f>B88</f>
        <v>ОАО "КузбассЭлектро"</v>
      </c>
      <c r="C100" s="74">
        <f>C90</f>
        <v>166383.15200000003</v>
      </c>
      <c r="D100" s="76"/>
      <c r="E100" s="76">
        <f>E90</f>
        <v>40.566999999999993</v>
      </c>
      <c r="F100" s="70"/>
      <c r="G100" s="74">
        <f>G90</f>
        <v>166081.47600000002</v>
      </c>
      <c r="H100" s="76"/>
      <c r="I100" s="76">
        <f>I90</f>
        <v>43.027999999999992</v>
      </c>
      <c r="J100" s="70"/>
      <c r="K100" s="74">
        <f>C100+G100</f>
        <v>332464.62800000003</v>
      </c>
      <c r="L100" s="76"/>
      <c r="M100" s="76">
        <f>M90</f>
        <v>41.796999999999997</v>
      </c>
      <c r="N100" s="70"/>
    </row>
    <row r="101" spans="1:14" s="46" customFormat="1" ht="18" customHeight="1">
      <c r="A101" s="88" t="s">
        <v>186</v>
      </c>
      <c r="B101" s="89" t="s">
        <v>134</v>
      </c>
      <c r="C101" s="74">
        <f>'П1.4'!F22</f>
        <v>1787.0550000000001</v>
      </c>
      <c r="D101" s="76"/>
      <c r="E101" s="76">
        <f>'П1.5'!F22</f>
        <v>0.47499999999999998</v>
      </c>
      <c r="F101" s="70"/>
      <c r="G101" s="74">
        <f>'П1.4'!K22</f>
        <v>1916.482</v>
      </c>
      <c r="H101" s="76"/>
      <c r="I101" s="76">
        <f>'П1.5'!K22</f>
        <v>0.505</v>
      </c>
      <c r="J101" s="70"/>
      <c r="K101" s="74">
        <f>C101+G101</f>
        <v>3703.5370000000003</v>
      </c>
      <c r="L101" s="76"/>
      <c r="M101" s="76">
        <f>'П1.5'!P22</f>
        <v>0.49</v>
      </c>
      <c r="N101" s="70"/>
    </row>
    <row r="102" spans="1:14" s="46" customFormat="1" ht="18" customHeight="1">
      <c r="A102" s="88" t="s">
        <v>187</v>
      </c>
      <c r="B102" s="89" t="s">
        <v>136</v>
      </c>
      <c r="C102" s="74">
        <f>'П1.4'!F30</f>
        <v>175319.73799999998</v>
      </c>
      <c r="D102" s="76"/>
      <c r="E102" s="76">
        <f>'П1.5'!F30</f>
        <v>46.161999999999999</v>
      </c>
      <c r="F102" s="70"/>
      <c r="G102" s="74">
        <f>'П1.4'!K30</f>
        <v>189519.61099999998</v>
      </c>
      <c r="H102" s="76"/>
      <c r="I102" s="76">
        <f>'П1.5'!K30</f>
        <v>49.525999999999996</v>
      </c>
      <c r="J102" s="70"/>
      <c r="K102" s="74">
        <f>C102+G102</f>
        <v>364839.34899999993</v>
      </c>
      <c r="L102" s="76"/>
      <c r="M102" s="76">
        <f>'П1.5'!P30</f>
        <v>47.844999999999992</v>
      </c>
      <c r="N102" s="70"/>
    </row>
    <row r="103" spans="1:14" s="46" customFormat="1" ht="18" customHeight="1">
      <c r="A103" s="77"/>
      <c r="B103" s="78" t="s">
        <v>114</v>
      </c>
      <c r="C103" s="79"/>
      <c r="D103" s="82"/>
      <c r="E103" s="82"/>
      <c r="F103" s="81"/>
      <c r="G103" s="79"/>
      <c r="H103" s="82"/>
      <c r="I103" s="82"/>
      <c r="J103" s="81"/>
      <c r="K103" s="79"/>
      <c r="L103" s="82"/>
      <c r="M103" s="82"/>
      <c r="N103" s="81"/>
    </row>
    <row r="104" spans="1:14" s="46" customFormat="1" ht="18" customHeight="1">
      <c r="A104" s="88" t="s">
        <v>188</v>
      </c>
      <c r="B104" s="89" t="s">
        <v>116</v>
      </c>
      <c r="C104" s="74">
        <f>'П1.4'!F33</f>
        <v>144484.81899999999</v>
      </c>
      <c r="D104" s="76"/>
      <c r="E104" s="76">
        <f>'П1.5'!F33</f>
        <v>37.731999999999999</v>
      </c>
      <c r="F104" s="70"/>
      <c r="G104" s="74">
        <f>'П1.4'!K33</f>
        <v>160016.11799999999</v>
      </c>
      <c r="H104" s="76"/>
      <c r="I104" s="76">
        <f>'П1.5'!K33</f>
        <v>41.348999999999997</v>
      </c>
      <c r="J104" s="70"/>
      <c r="K104" s="74">
        <f>C104+G104</f>
        <v>304500.93699999998</v>
      </c>
      <c r="L104" s="76"/>
      <c r="M104" s="76">
        <f>'П1.5'!P33</f>
        <v>39.540499999999994</v>
      </c>
      <c r="N104" s="70"/>
    </row>
    <row r="105" spans="1:14" s="46" customFormat="1" ht="18" customHeight="1">
      <c r="A105" s="88" t="s">
        <v>189</v>
      </c>
      <c r="B105" s="89" t="s">
        <v>118</v>
      </c>
      <c r="C105" s="74">
        <f>'П1.4'!F35</f>
        <v>30834.919000000002</v>
      </c>
      <c r="D105" s="76"/>
      <c r="E105" s="76">
        <f>'П1.5'!F36</f>
        <v>8.43</v>
      </c>
      <c r="F105" s="70"/>
      <c r="G105" s="74">
        <f>'П1.4'!K35</f>
        <v>29503.492999999999</v>
      </c>
      <c r="H105" s="76"/>
      <c r="I105" s="76">
        <f>'П1.5'!K36</f>
        <v>8.1769999999999996</v>
      </c>
      <c r="J105" s="70"/>
      <c r="K105" s="74">
        <f>C105+G105</f>
        <v>60338.411999999997</v>
      </c>
      <c r="L105" s="76"/>
      <c r="M105" s="76">
        <f>'П1.5'!P36</f>
        <v>8.3034999999999997</v>
      </c>
      <c r="N105" s="70"/>
    </row>
    <row r="106" spans="1:14" s="46" customFormat="1" ht="18" customHeight="1">
      <c r="A106" s="77"/>
      <c r="B106" s="78" t="s">
        <v>119</v>
      </c>
      <c r="C106" s="79"/>
      <c r="D106" s="82"/>
      <c r="E106" s="82"/>
      <c r="F106" s="81"/>
      <c r="G106" s="79"/>
      <c r="H106" s="82"/>
      <c r="I106" s="82"/>
      <c r="J106" s="81"/>
      <c r="K106" s="79"/>
      <c r="L106" s="82"/>
      <c r="M106" s="82"/>
      <c r="N106" s="81"/>
    </row>
    <row r="107" spans="1:14" s="46" customFormat="1" ht="18" customHeight="1">
      <c r="A107" s="72" t="s">
        <v>165</v>
      </c>
      <c r="B107" s="73" t="str">
        <f>B98</f>
        <v>ПАО "Россети Сибирь"-"Кузбассэнерго-РЭС"</v>
      </c>
      <c r="C107" s="74">
        <f>'П1.6'!E34</f>
        <v>0</v>
      </c>
      <c r="D107" s="76"/>
      <c r="E107" s="76">
        <f>'П1.6'!J34</f>
        <v>0</v>
      </c>
      <c r="F107" s="70"/>
      <c r="G107" s="74">
        <f>'П1.6'!E74</f>
        <v>0</v>
      </c>
      <c r="H107" s="76"/>
      <c r="I107" s="76">
        <f>'П1.6'!J74</f>
        <v>0</v>
      </c>
      <c r="J107" s="70"/>
      <c r="K107" s="74">
        <f t="shared" ref="K107:K113" si="1">C107+G107</f>
        <v>0</v>
      </c>
      <c r="L107" s="76"/>
      <c r="M107" s="76">
        <f>'П1.6'!J113</f>
        <v>0</v>
      </c>
      <c r="N107" s="70"/>
    </row>
    <row r="108" spans="1:14" s="46" customFormat="1" ht="18" customHeight="1">
      <c r="A108" s="72" t="s">
        <v>166</v>
      </c>
      <c r="B108" s="73" t="s">
        <v>167</v>
      </c>
      <c r="C108" s="74">
        <f>C107-C98</f>
        <v>-28216.554000000033</v>
      </c>
      <c r="D108" s="76"/>
      <c r="E108" s="76">
        <f>E107-E98</f>
        <v>-11.096000000000011</v>
      </c>
      <c r="F108" s="86"/>
      <c r="G108" s="74">
        <f>G107-G98</f>
        <v>-41333.288999999961</v>
      </c>
      <c r="H108" s="76"/>
      <c r="I108" s="76">
        <f>I107-I98</f>
        <v>-11.643000000000008</v>
      </c>
      <c r="J108" s="86"/>
      <c r="K108" s="74">
        <f t="shared" si="1"/>
        <v>-69549.842999999993</v>
      </c>
      <c r="L108" s="76"/>
      <c r="M108" s="76">
        <f>M107-M98</f>
        <v>-11.369</v>
      </c>
      <c r="N108" s="86"/>
    </row>
    <row r="109" spans="1:14" s="46" customFormat="1" ht="18" customHeight="1">
      <c r="A109" s="72" t="s">
        <v>168</v>
      </c>
      <c r="B109" s="73" t="str">
        <f>B99</f>
        <v>ОАО "РЖД"</v>
      </c>
      <c r="C109" s="74">
        <v>0</v>
      </c>
      <c r="D109" s="76"/>
      <c r="E109" s="76">
        <v>0</v>
      </c>
      <c r="F109" s="86"/>
      <c r="G109" s="74">
        <v>0</v>
      </c>
      <c r="H109" s="76"/>
      <c r="I109" s="76">
        <v>0</v>
      </c>
      <c r="J109" s="86"/>
      <c r="K109" s="74">
        <f t="shared" si="1"/>
        <v>0</v>
      </c>
      <c r="L109" s="76"/>
      <c r="M109" s="76">
        <v>0</v>
      </c>
      <c r="N109" s="86"/>
    </row>
    <row r="110" spans="1:14" s="46" customFormat="1" ht="18" customHeight="1">
      <c r="A110" s="72" t="s">
        <v>169</v>
      </c>
      <c r="B110" s="73" t="s">
        <v>170</v>
      </c>
      <c r="C110" s="74">
        <f>C109-C99</f>
        <v>-328.22300000000001</v>
      </c>
      <c r="D110" s="76"/>
      <c r="E110" s="76">
        <f>E109-E99</f>
        <v>-0.13200000000000001</v>
      </c>
      <c r="F110" s="86"/>
      <c r="G110" s="74">
        <f>G109-G99</f>
        <v>-303.94799999999998</v>
      </c>
      <c r="H110" s="76"/>
      <c r="I110" s="76">
        <f>I109-I99</f>
        <v>-9.1999999999999998E-2</v>
      </c>
      <c r="J110" s="86"/>
      <c r="K110" s="74">
        <f t="shared" si="1"/>
        <v>-632.17100000000005</v>
      </c>
      <c r="L110" s="76"/>
      <c r="M110" s="76">
        <f>M109-M99</f>
        <v>-0.112</v>
      </c>
      <c r="N110" s="86"/>
    </row>
    <row r="111" spans="1:14" s="46" customFormat="1" ht="18" customHeight="1">
      <c r="A111" s="72" t="s">
        <v>171</v>
      </c>
      <c r="B111" s="73" t="str">
        <f t="shared" ref="B111:C113" si="2">B34</f>
        <v>ООО "КЭнК"</v>
      </c>
      <c r="C111" s="74">
        <f t="shared" si="2"/>
        <v>30225.615000000002</v>
      </c>
      <c r="D111" s="76"/>
      <c r="E111" s="76">
        <f>E34</f>
        <v>8.2840000000000007</v>
      </c>
      <c r="F111" s="86"/>
      <c r="G111" s="74">
        <f>'П1.6'!C76</f>
        <v>29443.8</v>
      </c>
      <c r="H111" s="76"/>
      <c r="I111" s="76">
        <f>I34</f>
        <v>8.16</v>
      </c>
      <c r="J111" s="86"/>
      <c r="K111" s="74">
        <f t="shared" si="1"/>
        <v>59669.415000000001</v>
      </c>
      <c r="L111" s="76"/>
      <c r="M111" s="76">
        <f>M34</f>
        <v>8.2220000000000013</v>
      </c>
      <c r="N111" s="86"/>
    </row>
    <row r="112" spans="1:14" s="46" customFormat="1" ht="18" customHeight="1">
      <c r="A112" s="72" t="s">
        <v>250</v>
      </c>
      <c r="B112" s="73" t="str">
        <f t="shared" si="2"/>
        <v>ООО "СКЭК"</v>
      </c>
      <c r="C112" s="74">
        <f t="shared" si="2"/>
        <v>609.30399999999997</v>
      </c>
      <c r="D112" s="76"/>
      <c r="E112" s="76">
        <f>E35</f>
        <v>0.14599999999999999</v>
      </c>
      <c r="F112" s="86"/>
      <c r="G112" s="74">
        <f>'П1.6'!C78</f>
        <v>59.692999999999998</v>
      </c>
      <c r="H112" s="76"/>
      <c r="I112" s="76">
        <f>I35</f>
        <v>1.7000000000000001E-2</v>
      </c>
      <c r="J112" s="86"/>
      <c r="K112" s="74">
        <f t="shared" si="1"/>
        <v>668.99699999999996</v>
      </c>
      <c r="L112" s="76"/>
      <c r="M112" s="76">
        <f>M35</f>
        <v>8.1499999999999989E-2</v>
      </c>
      <c r="N112" s="86"/>
    </row>
    <row r="113" spans="1:14" s="46" customFormat="1" ht="18" hidden="1" customHeight="1">
      <c r="A113" s="72" t="s">
        <v>251</v>
      </c>
      <c r="B113" s="73" t="e">
        <f t="shared" si="2"/>
        <v>#REF!</v>
      </c>
      <c r="C113" s="74">
        <f t="shared" si="2"/>
        <v>0</v>
      </c>
      <c r="D113" s="76"/>
      <c r="E113" s="76" t="e">
        <f>E36</f>
        <v>#REF!</v>
      </c>
      <c r="F113" s="86"/>
      <c r="G113" s="74" t="e">
        <f>'П1.6'!#REF!</f>
        <v>#REF!</v>
      </c>
      <c r="H113" s="76"/>
      <c r="I113" s="76" t="e">
        <f>I36</f>
        <v>#REF!</v>
      </c>
      <c r="J113" s="86"/>
      <c r="K113" s="74" t="e">
        <f t="shared" si="1"/>
        <v>#REF!</v>
      </c>
      <c r="L113" s="76"/>
      <c r="M113" s="76" t="e">
        <f>M36</f>
        <v>#REF!</v>
      </c>
      <c r="N113" s="86"/>
    </row>
    <row r="114" spans="1:14" s="46" customFormat="1" ht="18" hidden="1" customHeight="1">
      <c r="A114" s="72" t="s">
        <v>252</v>
      </c>
      <c r="B114" s="85" t="str">
        <f>B100</f>
        <v>ОАО "КузбассЭлектро"</v>
      </c>
      <c r="C114" s="74"/>
      <c r="D114" s="76"/>
      <c r="E114" s="76"/>
      <c r="F114" s="86"/>
      <c r="G114" s="74"/>
      <c r="H114" s="76"/>
      <c r="I114" s="76"/>
      <c r="J114" s="86"/>
      <c r="K114" s="74"/>
      <c r="L114" s="76"/>
      <c r="M114" s="76"/>
      <c r="N114" s="86"/>
    </row>
    <row r="115" spans="1:14" s="46" customFormat="1" ht="18" hidden="1" customHeight="1">
      <c r="A115" s="72" t="s">
        <v>172</v>
      </c>
      <c r="B115" s="85" t="s">
        <v>173</v>
      </c>
      <c r="C115" s="74"/>
      <c r="D115" s="76"/>
      <c r="E115" s="76"/>
      <c r="F115" s="86"/>
      <c r="G115" s="74"/>
      <c r="H115" s="76"/>
      <c r="I115" s="76"/>
      <c r="J115" s="86"/>
      <c r="K115" s="74"/>
      <c r="L115" s="76"/>
      <c r="M115" s="76"/>
      <c r="N115" s="86"/>
    </row>
    <row r="116" spans="1:14" s="46" customFormat="1" ht="18" customHeight="1">
      <c r="A116" s="88" t="s">
        <v>190</v>
      </c>
      <c r="B116" s="89" t="s">
        <v>191</v>
      </c>
      <c r="C116" s="74"/>
      <c r="D116" s="76"/>
      <c r="E116" s="76"/>
      <c r="F116" s="70"/>
      <c r="G116" s="74"/>
      <c r="H116" s="76"/>
      <c r="I116" s="76"/>
      <c r="J116" s="70"/>
      <c r="K116" s="74"/>
      <c r="L116" s="76"/>
      <c r="M116" s="76"/>
      <c r="N116" s="70"/>
    </row>
    <row r="117" spans="1:14" s="46" customFormat="1" ht="18" customHeight="1">
      <c r="A117" s="88" t="s">
        <v>192</v>
      </c>
      <c r="B117" s="148" t="s">
        <v>151</v>
      </c>
      <c r="C117" s="74">
        <f>C93-C102-C101</f>
        <v>17821.136000000079</v>
      </c>
      <c r="D117" s="76"/>
      <c r="E117" s="76">
        <f>E93-E102-E101</f>
        <v>5.158000000000003</v>
      </c>
      <c r="F117" s="70"/>
      <c r="G117" s="74">
        <f>G93-G102-G101</f>
        <v>16282.620000000014</v>
      </c>
      <c r="H117" s="76"/>
      <c r="I117" s="76">
        <f>I93-I102-I101</f>
        <v>4.732000000000002</v>
      </c>
      <c r="J117" s="70"/>
      <c r="K117" s="74">
        <f>C117+G117</f>
        <v>34103.756000000096</v>
      </c>
      <c r="L117" s="76"/>
      <c r="M117" s="76">
        <f>M93-M102-M101</f>
        <v>4.9440000000000115</v>
      </c>
      <c r="N117" s="70"/>
    </row>
    <row r="118" spans="1:14" s="46" customFormat="1" ht="18" customHeight="1">
      <c r="A118" s="88" t="s">
        <v>193</v>
      </c>
      <c r="B118" s="148" t="s">
        <v>153</v>
      </c>
      <c r="C118" s="74"/>
      <c r="D118" s="76"/>
      <c r="E118" s="76"/>
      <c r="F118" s="70"/>
      <c r="G118" s="74"/>
      <c r="H118" s="76"/>
      <c r="I118" s="76"/>
      <c r="J118" s="70"/>
      <c r="K118" s="74"/>
      <c r="L118" s="76"/>
      <c r="M118" s="76"/>
      <c r="N118" s="70"/>
    </row>
    <row r="119" spans="1:14" s="46" customFormat="1" ht="18" customHeight="1">
      <c r="A119" s="88" t="s">
        <v>194</v>
      </c>
      <c r="B119" s="89" t="s">
        <v>195</v>
      </c>
      <c r="C119" s="74">
        <f>'П1.4'!G7</f>
        <v>19442.102000000079</v>
      </c>
      <c r="D119" s="76"/>
      <c r="E119" s="76">
        <f>'П1.5'!G7</f>
        <v>5.5810000000000013</v>
      </c>
      <c r="F119" s="70"/>
      <c r="G119" s="74">
        <f>'П1.4'!L7</f>
        <v>17967.180000000015</v>
      </c>
      <c r="H119" s="76"/>
      <c r="I119" s="76">
        <f>'П1.5'!L7</f>
        <v>5.2099999999999991</v>
      </c>
      <c r="J119" s="70"/>
      <c r="K119" s="74">
        <f>C119+G119</f>
        <v>37409.282000000094</v>
      </c>
      <c r="L119" s="76"/>
      <c r="M119" s="76">
        <f>'П1.5'!Q7</f>
        <v>5.394500000000007</v>
      </c>
      <c r="N119" s="70"/>
    </row>
    <row r="120" spans="1:14" s="46" customFormat="1" ht="18" customHeight="1">
      <c r="A120" s="77"/>
      <c r="B120" s="78" t="s">
        <v>107</v>
      </c>
      <c r="C120" s="79"/>
      <c r="D120" s="82"/>
      <c r="E120" s="82"/>
      <c r="F120" s="81"/>
      <c r="G120" s="79"/>
      <c r="H120" s="82"/>
      <c r="I120" s="82"/>
      <c r="J120" s="81"/>
      <c r="K120" s="79"/>
      <c r="L120" s="82"/>
      <c r="M120" s="82"/>
      <c r="N120" s="81"/>
    </row>
    <row r="121" spans="1:14" s="46" customFormat="1" ht="18" customHeight="1">
      <c r="A121" s="88" t="s">
        <v>196</v>
      </c>
      <c r="B121" s="89" t="s">
        <v>157</v>
      </c>
      <c r="C121" s="74">
        <v>0</v>
      </c>
      <c r="D121" s="76"/>
      <c r="E121" s="76">
        <v>0</v>
      </c>
      <c r="F121" s="70"/>
      <c r="G121" s="74">
        <v>0</v>
      </c>
      <c r="H121" s="76"/>
      <c r="I121" s="76">
        <v>0</v>
      </c>
      <c r="J121" s="70"/>
      <c r="K121" s="74">
        <f>C121+G121</f>
        <v>0</v>
      </c>
      <c r="L121" s="76"/>
      <c r="M121" s="76">
        <v>0</v>
      </c>
      <c r="N121" s="70"/>
    </row>
    <row r="122" spans="1:14" s="46" customFormat="1" ht="18" customHeight="1">
      <c r="A122" s="88" t="s">
        <v>197</v>
      </c>
      <c r="B122" s="89" t="s">
        <v>106</v>
      </c>
      <c r="C122" s="74">
        <f>C119</f>
        <v>19442.102000000079</v>
      </c>
      <c r="D122" s="76"/>
      <c r="E122" s="76">
        <f>E119</f>
        <v>5.5810000000000013</v>
      </c>
      <c r="F122" s="70"/>
      <c r="G122" s="74">
        <f>G119</f>
        <v>17967.180000000015</v>
      </c>
      <c r="H122" s="76"/>
      <c r="I122" s="76">
        <f>I119</f>
        <v>5.2099999999999991</v>
      </c>
      <c r="J122" s="70"/>
      <c r="K122" s="74">
        <f>C122+G122</f>
        <v>37409.282000000094</v>
      </c>
      <c r="L122" s="76"/>
      <c r="M122" s="76">
        <f>M119</f>
        <v>5.394500000000007</v>
      </c>
      <c r="N122" s="70"/>
    </row>
    <row r="123" spans="1:14" s="46" customFormat="1" ht="18" customHeight="1">
      <c r="A123" s="77"/>
      <c r="B123" s="78" t="s">
        <v>107</v>
      </c>
      <c r="C123" s="79"/>
      <c r="D123" s="82"/>
      <c r="E123" s="82"/>
      <c r="F123" s="81"/>
      <c r="G123" s="79"/>
      <c r="H123" s="82"/>
      <c r="I123" s="82"/>
      <c r="J123" s="81"/>
      <c r="K123" s="79"/>
      <c r="L123" s="82"/>
      <c r="M123" s="82"/>
      <c r="N123" s="81"/>
    </row>
    <row r="124" spans="1:14" s="46" customFormat="1" ht="18" customHeight="1">
      <c r="A124" s="72" t="s">
        <v>198</v>
      </c>
      <c r="B124" s="73" t="str">
        <f>B107</f>
        <v>ПАО "Россети Сибирь"-"Кузбассэнерго-РЭС"</v>
      </c>
      <c r="C124" s="74">
        <f>C122-C125-C126</f>
        <v>1198.1310000000012</v>
      </c>
      <c r="D124" s="76"/>
      <c r="E124" s="76">
        <f>E122-E125-E126</f>
        <v>0.31499999999999861</v>
      </c>
      <c r="F124" s="70"/>
      <c r="G124" s="74">
        <f>G122-G125-G126</f>
        <v>1307.648000000001</v>
      </c>
      <c r="H124" s="76"/>
      <c r="I124" s="76">
        <f>I122-I125-I126</f>
        <v>0.38399999999999679</v>
      </c>
      <c r="J124" s="70"/>
      <c r="K124" s="74">
        <f>C124+G124</f>
        <v>2505.7790000000023</v>
      </c>
      <c r="L124" s="76"/>
      <c r="M124" s="76">
        <v>0.35</v>
      </c>
      <c r="N124" s="169"/>
    </row>
    <row r="125" spans="1:14" s="46" customFormat="1" ht="18" customHeight="1">
      <c r="A125" s="72" t="s">
        <v>199</v>
      </c>
      <c r="B125" s="73" t="str">
        <f>B30</f>
        <v>АО "ЭнергоПаритет"</v>
      </c>
      <c r="C125" s="74">
        <f>C15</f>
        <v>422.83499999999998</v>
      </c>
      <c r="D125" s="76"/>
      <c r="E125" s="76">
        <f>E15</f>
        <v>0.108</v>
      </c>
      <c r="F125" s="70"/>
      <c r="G125" s="74">
        <f>G15</f>
        <v>376.91199999999998</v>
      </c>
      <c r="H125" s="76"/>
      <c r="I125" s="76">
        <f>I15</f>
        <v>9.4E-2</v>
      </c>
      <c r="J125" s="70"/>
      <c r="K125" s="74">
        <f>C125+G125</f>
        <v>799.74699999999996</v>
      </c>
      <c r="L125" s="76"/>
      <c r="M125" s="76">
        <f>M15</f>
        <v>0.10100000000000001</v>
      </c>
      <c r="N125" s="70"/>
    </row>
    <row r="126" spans="1:14" s="46" customFormat="1" ht="18" customHeight="1">
      <c r="A126" s="72" t="s">
        <v>200</v>
      </c>
      <c r="B126" s="73" t="str">
        <f>B114</f>
        <v>ОАО "КузбассЭлектро"</v>
      </c>
      <c r="C126" s="74">
        <f>C117</f>
        <v>17821.136000000079</v>
      </c>
      <c r="D126" s="76"/>
      <c r="E126" s="76">
        <f>E117</f>
        <v>5.158000000000003</v>
      </c>
      <c r="F126" s="70"/>
      <c r="G126" s="74">
        <f>G117</f>
        <v>16282.620000000014</v>
      </c>
      <c r="H126" s="76"/>
      <c r="I126" s="76">
        <f>I117</f>
        <v>4.732000000000002</v>
      </c>
      <c r="J126" s="70"/>
      <c r="K126" s="74">
        <f>C126+G126</f>
        <v>34103.756000000096</v>
      </c>
      <c r="L126" s="76"/>
      <c r="M126" s="76">
        <f>M117</f>
        <v>4.9440000000000115</v>
      </c>
      <c r="N126" s="70"/>
    </row>
    <row r="127" spans="1:14" s="46" customFormat="1" ht="18" customHeight="1">
      <c r="A127" s="88" t="s">
        <v>201</v>
      </c>
      <c r="B127" s="89" t="s">
        <v>134</v>
      </c>
      <c r="C127" s="74">
        <f>'П1.4'!G22</f>
        <v>61.176000000000002</v>
      </c>
      <c r="D127" s="76"/>
      <c r="E127" s="76">
        <f>'П1.5'!G22</f>
        <v>1.9E-2</v>
      </c>
      <c r="F127" s="70"/>
      <c r="G127" s="74">
        <f>'П1.4'!L22</f>
        <v>143.03200000000001</v>
      </c>
      <c r="H127" s="76"/>
      <c r="I127" s="76">
        <f>'П1.5'!L22</f>
        <v>4.1000000000000002E-2</v>
      </c>
      <c r="J127" s="70"/>
      <c r="K127" s="74">
        <f>C127+G127</f>
        <v>204.20800000000003</v>
      </c>
      <c r="L127" s="76"/>
      <c r="M127" s="76">
        <f>'П1.5'!Q22</f>
        <v>0.03</v>
      </c>
      <c r="N127" s="70"/>
    </row>
    <row r="128" spans="1:14" s="46" customFormat="1" ht="18" customHeight="1">
      <c r="A128" s="88" t="s">
        <v>202</v>
      </c>
      <c r="B128" s="89" t="s">
        <v>136</v>
      </c>
      <c r="C128" s="74">
        <f>C122-C127</f>
        <v>19380.92600000008</v>
      </c>
      <c r="D128" s="76"/>
      <c r="E128" s="76">
        <f>E122-E127</f>
        <v>5.5620000000000012</v>
      </c>
      <c r="F128" s="70"/>
      <c r="G128" s="74">
        <f>G122-G127</f>
        <v>17824.148000000016</v>
      </c>
      <c r="H128" s="76"/>
      <c r="I128" s="76">
        <f>I122-I127</f>
        <v>5.1689999999999987</v>
      </c>
      <c r="J128" s="70"/>
      <c r="K128" s="74">
        <f>C128+G128</f>
        <v>37205.074000000095</v>
      </c>
      <c r="L128" s="76"/>
      <c r="M128" s="76">
        <f>M122-M127</f>
        <v>5.3645000000000067</v>
      </c>
      <c r="N128" s="70"/>
    </row>
    <row r="129" spans="1:14" s="46" customFormat="1" ht="18" customHeight="1">
      <c r="A129" s="77"/>
      <c r="B129" s="78" t="s">
        <v>114</v>
      </c>
      <c r="C129" s="79"/>
      <c r="D129" s="82"/>
      <c r="E129" s="82"/>
      <c r="F129" s="81"/>
      <c r="G129" s="79"/>
      <c r="H129" s="82"/>
      <c r="I129" s="82"/>
      <c r="J129" s="81"/>
      <c r="K129" s="80"/>
      <c r="L129" s="82"/>
      <c r="M129" s="82"/>
      <c r="N129" s="81"/>
    </row>
    <row r="130" spans="1:14" s="46" customFormat="1" ht="18" customHeight="1">
      <c r="A130" s="88" t="s">
        <v>203</v>
      </c>
      <c r="B130" s="89" t="s">
        <v>116</v>
      </c>
      <c r="C130" s="74">
        <f>'П1.4'!G33</f>
        <v>18955.041000000001</v>
      </c>
      <c r="D130" s="76"/>
      <c r="E130" s="76">
        <f>'П1.5'!G33</f>
        <v>5.444</v>
      </c>
      <c r="F130" s="70"/>
      <c r="G130" s="74">
        <f>'П1.4'!L33</f>
        <v>17434.952000000001</v>
      </c>
      <c r="H130" s="76"/>
      <c r="I130" s="76">
        <f>'П1.5'!L33</f>
        <v>5.0590000000000002</v>
      </c>
      <c r="J130" s="70"/>
      <c r="K130" s="74">
        <f>C130+G130</f>
        <v>36389.993000000002</v>
      </c>
      <c r="L130" s="76"/>
      <c r="M130" s="76">
        <f>'П1.5'!Q33</f>
        <v>5.2504999999999997</v>
      </c>
      <c r="N130" s="70"/>
    </row>
    <row r="131" spans="1:14" s="46" customFormat="1" ht="18" customHeight="1">
      <c r="A131" s="88" t="s">
        <v>204</v>
      </c>
      <c r="B131" s="89" t="s">
        <v>118</v>
      </c>
      <c r="C131" s="74">
        <f>C128-C130</f>
        <v>425.88500000007843</v>
      </c>
      <c r="D131" s="76"/>
      <c r="E131" s="76">
        <f>E128-E130</f>
        <v>0.11800000000000122</v>
      </c>
      <c r="F131" s="70"/>
      <c r="G131" s="74">
        <f>G119-G130-G127</f>
        <v>389.19600000001367</v>
      </c>
      <c r="H131" s="76"/>
      <c r="I131" s="76">
        <f>I128-I130</f>
        <v>0.10999999999999854</v>
      </c>
      <c r="J131" s="70"/>
      <c r="K131" s="74">
        <f>C131+G131</f>
        <v>815.0810000000921</v>
      </c>
      <c r="L131" s="76"/>
      <c r="M131" s="76">
        <f>M128-M130</f>
        <v>0.11400000000000698</v>
      </c>
      <c r="N131" s="70"/>
    </row>
    <row r="132" spans="1:14" s="46" customFormat="1" ht="18" customHeight="1">
      <c r="A132" s="77"/>
      <c r="B132" s="78" t="s">
        <v>119</v>
      </c>
      <c r="C132" s="79"/>
      <c r="D132" s="82"/>
      <c r="E132" s="82"/>
      <c r="F132" s="81"/>
      <c r="G132" s="79"/>
      <c r="H132" s="82"/>
      <c r="I132" s="82"/>
      <c r="J132" s="81"/>
      <c r="K132" s="79"/>
      <c r="L132" s="82"/>
      <c r="M132" s="82"/>
      <c r="N132" s="81"/>
    </row>
    <row r="133" spans="1:14" s="46" customFormat="1" ht="18" customHeight="1">
      <c r="A133" s="72" t="s">
        <v>205</v>
      </c>
      <c r="B133" s="73" t="str">
        <f>B124</f>
        <v>ПАО "Россети Сибирь"-"Кузбассэнерго-РЭС"</v>
      </c>
      <c r="C133" s="74">
        <f>C26</f>
        <v>89.995999999999995</v>
      </c>
      <c r="D133" s="76"/>
      <c r="E133" s="76">
        <f>E26</f>
        <v>2.3E-2</v>
      </c>
      <c r="F133" s="86"/>
      <c r="G133" s="74">
        <f>G26</f>
        <v>79.283000000000001</v>
      </c>
      <c r="H133" s="76"/>
      <c r="I133" s="76">
        <f>I26</f>
        <v>1.9E-2</v>
      </c>
      <c r="J133" s="86"/>
      <c r="K133" s="74">
        <f>K26</f>
        <v>169.279</v>
      </c>
      <c r="L133" s="76"/>
      <c r="M133" s="76">
        <f>M26</f>
        <v>2.1000000000000001E-2</v>
      </c>
      <c r="N133" s="86"/>
    </row>
    <row r="134" spans="1:14" s="46" customFormat="1" ht="18" customHeight="1">
      <c r="A134" s="72" t="s">
        <v>206</v>
      </c>
      <c r="B134" s="73" t="s">
        <v>167</v>
      </c>
      <c r="C134" s="74">
        <f>C133-C124</f>
        <v>-1108.1350000000011</v>
      </c>
      <c r="D134" s="76"/>
      <c r="E134" s="76">
        <f>E133-E124</f>
        <v>-0.29199999999999859</v>
      </c>
      <c r="F134" s="86"/>
      <c r="G134" s="74">
        <f>G133-G124</f>
        <v>-1228.3650000000011</v>
      </c>
      <c r="H134" s="76"/>
      <c r="I134" s="76">
        <f>I133-I124</f>
        <v>-0.36499999999999677</v>
      </c>
      <c r="J134" s="86"/>
      <c r="K134" s="74">
        <f>C134+G134</f>
        <v>-2336.5000000000023</v>
      </c>
      <c r="L134" s="76"/>
      <c r="M134" s="76">
        <f>M133-M124</f>
        <v>-0.32899999999999996</v>
      </c>
      <c r="N134" s="86"/>
    </row>
    <row r="135" spans="1:14" s="46" customFormat="1" ht="18" customHeight="1">
      <c r="A135" s="72" t="s">
        <v>207</v>
      </c>
      <c r="B135" s="73" t="str">
        <f>B125</f>
        <v>АО "ЭнергоПаритет"</v>
      </c>
      <c r="C135" s="74">
        <v>0</v>
      </c>
      <c r="D135" s="76"/>
      <c r="E135" s="76">
        <v>0</v>
      </c>
      <c r="F135" s="86"/>
      <c r="G135" s="74">
        <v>0</v>
      </c>
      <c r="H135" s="76"/>
      <c r="I135" s="76">
        <v>0</v>
      </c>
      <c r="J135" s="86"/>
      <c r="K135" s="74">
        <f>C135+G135</f>
        <v>0</v>
      </c>
      <c r="L135" s="76"/>
      <c r="M135" s="76">
        <v>0</v>
      </c>
      <c r="N135" s="86"/>
    </row>
    <row r="136" spans="1:14" s="46" customFormat="1" ht="18" customHeight="1">
      <c r="A136" s="72" t="s">
        <v>208</v>
      </c>
      <c r="B136" s="73" t="s">
        <v>170</v>
      </c>
      <c r="C136" s="74">
        <f>C135-C125</f>
        <v>-422.83499999999998</v>
      </c>
      <c r="D136" s="76"/>
      <c r="E136" s="76">
        <f>E135-E125</f>
        <v>-0.108</v>
      </c>
      <c r="F136" s="86"/>
      <c r="G136" s="74">
        <f>G135-G125</f>
        <v>-376.91199999999998</v>
      </c>
      <c r="H136" s="76"/>
      <c r="I136" s="76">
        <f>I135-I125</f>
        <v>-9.4E-2</v>
      </c>
      <c r="J136" s="86"/>
      <c r="K136" s="74">
        <f>C136+G136</f>
        <v>-799.74699999999996</v>
      </c>
      <c r="L136" s="76"/>
      <c r="M136" s="76">
        <f>M135-M125</f>
        <v>-0.10100000000000001</v>
      </c>
      <c r="N136" s="86"/>
    </row>
    <row r="137" spans="1:14" s="46" customFormat="1" ht="18" customHeight="1">
      <c r="A137" s="72" t="s">
        <v>209</v>
      </c>
      <c r="B137" s="85" t="s">
        <v>274</v>
      </c>
      <c r="C137" s="171">
        <f>C37</f>
        <v>168.08699999999999</v>
      </c>
      <c r="D137" s="171"/>
      <c r="E137" s="171">
        <f>E37</f>
        <v>3.7999999999999999E-2</v>
      </c>
      <c r="F137" s="85"/>
      <c r="G137" s="171">
        <f>G37</f>
        <v>142.566</v>
      </c>
      <c r="H137" s="171"/>
      <c r="I137" s="171">
        <f>I37</f>
        <v>3.4000000000000002E-2</v>
      </c>
      <c r="J137" s="70"/>
      <c r="K137" s="171">
        <f>K37</f>
        <v>310.65300000000002</v>
      </c>
      <c r="L137" s="171"/>
      <c r="M137" s="171">
        <f>M37</f>
        <v>3.5999999999999997E-2</v>
      </c>
      <c r="N137" s="70"/>
    </row>
    <row r="138" spans="1:14" s="46" customFormat="1" ht="18" customHeight="1">
      <c r="A138" s="72" t="s">
        <v>275</v>
      </c>
      <c r="B138" s="85" t="s">
        <v>230</v>
      </c>
      <c r="C138" s="74">
        <f>'П1.4'!G29</f>
        <v>167.80199999999999</v>
      </c>
      <c r="D138" s="76"/>
      <c r="E138" s="76">
        <f>'П1.5'!G29</f>
        <v>5.7000000000000002E-2</v>
      </c>
      <c r="F138" s="70"/>
      <c r="G138" s="74">
        <f>'П1.4'!L29</f>
        <v>167.34700000000001</v>
      </c>
      <c r="H138" s="76"/>
      <c r="I138" s="76">
        <f>I38-I88</f>
        <v>5.7000000000000002E-2</v>
      </c>
      <c r="J138" s="70"/>
      <c r="K138" s="74">
        <f>C138+G138</f>
        <v>335.149</v>
      </c>
      <c r="L138" s="76"/>
      <c r="M138" s="76">
        <f>M38-M88</f>
        <v>5.6999999999999995E-2</v>
      </c>
      <c r="N138" s="70"/>
    </row>
    <row r="139" spans="1:14" s="46" customFormat="1" ht="18" customHeight="1">
      <c r="A139" s="88" t="s">
        <v>210</v>
      </c>
      <c r="B139" s="89" t="s">
        <v>211</v>
      </c>
      <c r="C139" s="90"/>
      <c r="D139" s="91"/>
      <c r="E139" s="155"/>
      <c r="F139" s="70"/>
      <c r="G139" s="90"/>
      <c r="H139" s="91"/>
      <c r="I139" s="155"/>
      <c r="J139" s="70"/>
      <c r="K139" s="90"/>
      <c r="L139" s="91"/>
      <c r="M139" s="155"/>
      <c r="N139" s="70"/>
    </row>
    <row r="140" spans="1:14" s="46" customFormat="1" ht="18" customHeight="1">
      <c r="A140" s="88" t="s">
        <v>212</v>
      </c>
      <c r="B140" s="148" t="s">
        <v>153</v>
      </c>
      <c r="C140" s="90"/>
      <c r="D140" s="91"/>
      <c r="E140" s="76"/>
      <c r="F140" s="70"/>
      <c r="G140" s="90"/>
      <c r="H140" s="91"/>
      <c r="I140" s="76"/>
      <c r="J140" s="70"/>
      <c r="K140" s="91"/>
      <c r="L140" s="91"/>
      <c r="M140" s="75"/>
      <c r="N140" s="70"/>
    </row>
    <row r="141" spans="1:14" s="46" customFormat="1" ht="18" customHeight="1">
      <c r="A141" s="88" t="s">
        <v>213</v>
      </c>
      <c r="B141" s="89" t="s">
        <v>214</v>
      </c>
      <c r="C141" s="90"/>
      <c r="D141" s="91"/>
      <c r="E141" s="155"/>
      <c r="F141" s="70"/>
      <c r="G141" s="90"/>
      <c r="H141" s="91"/>
      <c r="I141" s="155"/>
      <c r="J141" s="70"/>
      <c r="K141" s="91"/>
      <c r="L141" s="91"/>
      <c r="M141" s="84"/>
      <c r="N141" s="70"/>
    </row>
    <row r="142" spans="1:14" s="46" customFormat="1" ht="18" customHeight="1">
      <c r="A142" s="77"/>
      <c r="B142" s="78" t="s">
        <v>107</v>
      </c>
      <c r="C142" s="79"/>
      <c r="D142" s="82"/>
      <c r="E142" s="82"/>
      <c r="F142" s="81"/>
      <c r="G142" s="82"/>
      <c r="H142" s="82"/>
      <c r="I142" s="80"/>
      <c r="J142" s="81"/>
      <c r="K142" s="82"/>
      <c r="L142" s="82"/>
      <c r="M142" s="80"/>
      <c r="N142" s="81"/>
    </row>
    <row r="143" spans="1:14" s="46" customFormat="1" ht="18" customHeight="1">
      <c r="A143" s="88" t="s">
        <v>215</v>
      </c>
      <c r="B143" s="89" t="s">
        <v>157</v>
      </c>
      <c r="C143" s="90"/>
      <c r="D143" s="91"/>
      <c r="E143" s="155"/>
      <c r="F143" s="70"/>
      <c r="G143" s="91"/>
      <c r="H143" s="91"/>
      <c r="I143" s="84"/>
      <c r="J143" s="70"/>
      <c r="K143" s="91"/>
      <c r="L143" s="91"/>
      <c r="M143" s="84"/>
      <c r="N143" s="70"/>
    </row>
    <row r="144" spans="1:14" s="46" customFormat="1" ht="18" customHeight="1">
      <c r="A144" s="88" t="s">
        <v>216</v>
      </c>
      <c r="B144" s="89" t="s">
        <v>106</v>
      </c>
      <c r="C144" s="90"/>
      <c r="D144" s="91"/>
      <c r="E144" s="155"/>
      <c r="F144" s="70"/>
      <c r="G144" s="91"/>
      <c r="H144" s="91"/>
      <c r="I144" s="84"/>
      <c r="J144" s="70"/>
      <c r="K144" s="91"/>
      <c r="L144" s="91"/>
      <c r="M144" s="84"/>
      <c r="N144" s="70"/>
    </row>
    <row r="145" spans="1:14" s="46" customFormat="1" ht="18" customHeight="1">
      <c r="A145" s="77"/>
      <c r="B145" s="78" t="s">
        <v>107</v>
      </c>
      <c r="C145" s="79"/>
      <c r="D145" s="82"/>
      <c r="E145" s="82"/>
      <c r="F145" s="81"/>
      <c r="G145" s="82"/>
      <c r="H145" s="82"/>
      <c r="I145" s="80"/>
      <c r="J145" s="81"/>
      <c r="K145" s="82"/>
      <c r="L145" s="82"/>
      <c r="M145" s="80"/>
      <c r="N145" s="81"/>
    </row>
    <row r="146" spans="1:14" s="46" customFormat="1" ht="18" customHeight="1">
      <c r="A146" s="72" t="s">
        <v>217</v>
      </c>
      <c r="B146" s="73" t="s">
        <v>108</v>
      </c>
      <c r="C146" s="90"/>
      <c r="D146" s="91"/>
      <c r="E146" s="155"/>
      <c r="F146" s="70"/>
      <c r="G146" s="91"/>
      <c r="H146" s="91"/>
      <c r="I146" s="84"/>
      <c r="J146" s="70"/>
      <c r="K146" s="91"/>
      <c r="L146" s="91"/>
      <c r="M146" s="84"/>
      <c r="N146" s="70"/>
    </row>
    <row r="147" spans="1:14" s="46" customFormat="1" ht="18" customHeight="1">
      <c r="A147" s="72" t="s">
        <v>218</v>
      </c>
      <c r="B147" s="73" t="s">
        <v>109</v>
      </c>
      <c r="C147" s="90"/>
      <c r="D147" s="91"/>
      <c r="E147" s="155"/>
      <c r="F147" s="70"/>
      <c r="G147" s="91"/>
      <c r="H147" s="91"/>
      <c r="I147" s="84"/>
      <c r="J147" s="70"/>
      <c r="K147" s="91"/>
      <c r="L147" s="91"/>
      <c r="M147" s="84"/>
      <c r="N147" s="70"/>
    </row>
    <row r="148" spans="1:14" s="46" customFormat="1" ht="18" customHeight="1">
      <c r="A148" s="72"/>
      <c r="B148" s="73" t="s">
        <v>132</v>
      </c>
      <c r="C148" s="90"/>
      <c r="D148" s="91"/>
      <c r="E148" s="155"/>
      <c r="F148" s="70"/>
      <c r="G148" s="91"/>
      <c r="H148" s="91"/>
      <c r="I148" s="84"/>
      <c r="J148" s="70"/>
      <c r="K148" s="91"/>
      <c r="L148" s="91"/>
      <c r="M148" s="84"/>
      <c r="N148" s="70"/>
    </row>
    <row r="149" spans="1:14" s="46" customFormat="1" ht="18" customHeight="1">
      <c r="A149" s="88" t="s">
        <v>219</v>
      </c>
      <c r="B149" s="89" t="s">
        <v>134</v>
      </c>
      <c r="C149" s="90"/>
      <c r="D149" s="91"/>
      <c r="E149" s="155"/>
      <c r="F149" s="70"/>
      <c r="G149" s="91"/>
      <c r="H149" s="91"/>
      <c r="I149" s="84"/>
      <c r="J149" s="70"/>
      <c r="K149" s="91"/>
      <c r="L149" s="91"/>
      <c r="M149" s="84"/>
      <c r="N149" s="70"/>
    </row>
    <row r="150" spans="1:14" s="46" customFormat="1" ht="18" customHeight="1">
      <c r="A150" s="88" t="s">
        <v>220</v>
      </c>
      <c r="B150" s="89" t="s">
        <v>136</v>
      </c>
      <c r="C150" s="90"/>
      <c r="D150" s="91"/>
      <c r="E150" s="155"/>
      <c r="F150" s="70"/>
      <c r="G150" s="91"/>
      <c r="H150" s="91"/>
      <c r="I150" s="84"/>
      <c r="J150" s="70"/>
      <c r="K150" s="91"/>
      <c r="L150" s="91"/>
      <c r="M150" s="84"/>
      <c r="N150" s="70"/>
    </row>
    <row r="151" spans="1:14" s="46" customFormat="1" ht="18" customHeight="1">
      <c r="A151" s="77"/>
      <c r="B151" s="78" t="s">
        <v>114</v>
      </c>
      <c r="C151" s="79"/>
      <c r="D151" s="82"/>
      <c r="E151" s="82"/>
      <c r="F151" s="81"/>
      <c r="G151" s="82"/>
      <c r="H151" s="82"/>
      <c r="I151" s="80"/>
      <c r="J151" s="81"/>
      <c r="K151" s="82"/>
      <c r="L151" s="82"/>
      <c r="M151" s="80"/>
      <c r="N151" s="81"/>
    </row>
    <row r="152" spans="1:14" s="46" customFormat="1" ht="18" customHeight="1">
      <c r="A152" s="88" t="s">
        <v>221</v>
      </c>
      <c r="B152" s="89" t="s">
        <v>116</v>
      </c>
      <c r="C152" s="90"/>
      <c r="D152" s="91"/>
      <c r="E152" s="155"/>
      <c r="F152" s="70"/>
      <c r="G152" s="91"/>
      <c r="H152" s="91"/>
      <c r="I152" s="84"/>
      <c r="J152" s="70"/>
      <c r="K152" s="91"/>
      <c r="L152" s="91"/>
      <c r="M152" s="84"/>
      <c r="N152" s="70"/>
    </row>
    <row r="153" spans="1:14" s="46" customFormat="1" ht="18" customHeight="1">
      <c r="A153" s="88" t="s">
        <v>222</v>
      </c>
      <c r="B153" s="89" t="s">
        <v>118</v>
      </c>
      <c r="C153" s="90"/>
      <c r="D153" s="91"/>
      <c r="E153" s="84"/>
      <c r="F153" s="70"/>
      <c r="G153" s="91"/>
      <c r="H153" s="91"/>
      <c r="I153" s="84"/>
      <c r="J153" s="70"/>
      <c r="K153" s="91"/>
      <c r="L153" s="91"/>
      <c r="M153" s="84"/>
      <c r="N153" s="70"/>
    </row>
    <row r="154" spans="1:14" s="46" customFormat="1" ht="18" customHeight="1">
      <c r="A154" s="77"/>
      <c r="B154" s="78" t="s">
        <v>119</v>
      </c>
      <c r="C154" s="79"/>
      <c r="D154" s="82"/>
      <c r="E154" s="80"/>
      <c r="F154" s="81"/>
      <c r="G154" s="82"/>
      <c r="H154" s="82"/>
      <c r="I154" s="80"/>
      <c r="J154" s="81"/>
      <c r="K154" s="82"/>
      <c r="L154" s="82"/>
      <c r="M154" s="80"/>
      <c r="N154" s="81"/>
    </row>
    <row r="155" spans="1:14" s="46" customFormat="1" ht="18" customHeight="1">
      <c r="A155" s="72" t="s">
        <v>223</v>
      </c>
      <c r="B155" s="73" t="s">
        <v>108</v>
      </c>
      <c r="C155" s="90"/>
      <c r="D155" s="91"/>
      <c r="E155" s="84"/>
      <c r="F155" s="70"/>
      <c r="G155" s="91"/>
      <c r="H155" s="91"/>
      <c r="I155" s="84"/>
      <c r="J155" s="70"/>
      <c r="K155" s="91"/>
      <c r="L155" s="91"/>
      <c r="M155" s="84"/>
      <c r="N155" s="70"/>
    </row>
    <row r="156" spans="1:14" s="46" customFormat="1" ht="18" customHeight="1">
      <c r="A156" s="72" t="s">
        <v>224</v>
      </c>
      <c r="B156" s="73" t="s">
        <v>225</v>
      </c>
      <c r="C156" s="90"/>
      <c r="D156" s="91"/>
      <c r="E156" s="84"/>
      <c r="F156" s="70"/>
      <c r="G156" s="91"/>
      <c r="H156" s="91"/>
      <c r="I156" s="84"/>
      <c r="J156" s="70"/>
      <c r="K156" s="91"/>
      <c r="L156" s="91"/>
      <c r="M156" s="84"/>
      <c r="N156" s="70"/>
    </row>
    <row r="157" spans="1:14" s="46" customFormat="1" ht="18" customHeight="1">
      <c r="A157" s="72" t="s">
        <v>226</v>
      </c>
      <c r="B157" s="73" t="s">
        <v>109</v>
      </c>
      <c r="C157" s="90"/>
      <c r="D157" s="91"/>
      <c r="E157" s="84"/>
      <c r="F157" s="70"/>
      <c r="G157" s="91"/>
      <c r="H157" s="91"/>
      <c r="I157" s="84"/>
      <c r="J157" s="70"/>
      <c r="K157" s="91"/>
      <c r="L157" s="91"/>
      <c r="M157" s="84"/>
      <c r="N157" s="70"/>
    </row>
    <row r="158" spans="1:14" s="46" customFormat="1" ht="18" customHeight="1">
      <c r="A158" s="72" t="s">
        <v>227</v>
      </c>
      <c r="B158" s="73" t="s">
        <v>228</v>
      </c>
      <c r="C158" s="90"/>
      <c r="D158" s="91"/>
      <c r="E158" s="84"/>
      <c r="F158" s="70"/>
      <c r="G158" s="91"/>
      <c r="H158" s="91"/>
      <c r="I158" s="84"/>
      <c r="J158" s="70"/>
      <c r="K158" s="91"/>
      <c r="L158" s="91"/>
      <c r="M158" s="84"/>
      <c r="N158" s="70"/>
    </row>
    <row r="159" spans="1:14" s="46" customFormat="1" ht="18" customHeight="1" thickBot="1">
      <c r="A159" s="92"/>
      <c r="B159" s="93" t="s">
        <v>132</v>
      </c>
      <c r="C159" s="94"/>
      <c r="D159" s="97"/>
      <c r="E159" s="95"/>
      <c r="F159" s="96"/>
      <c r="G159" s="97"/>
      <c r="H159" s="97"/>
      <c r="I159" s="95"/>
      <c r="J159" s="96"/>
      <c r="K159" s="97"/>
      <c r="L159" s="97"/>
      <c r="M159" s="95"/>
      <c r="N159" s="96"/>
    </row>
    <row r="160" spans="1:14" s="46" customFormat="1">
      <c r="A160" s="98"/>
      <c r="B160" s="99"/>
      <c r="C160" s="100"/>
      <c r="D160" s="100"/>
      <c r="G160" s="100"/>
      <c r="H160" s="100"/>
      <c r="K160" s="100"/>
      <c r="L160" s="100"/>
    </row>
    <row r="161" spans="1:12" s="46" customFormat="1">
      <c r="A161" s="101"/>
      <c r="B161" s="99"/>
      <c r="C161" s="100"/>
      <c r="D161" s="100"/>
      <c r="G161" s="100"/>
      <c r="H161" s="100"/>
      <c r="K161" s="100"/>
      <c r="L161" s="100"/>
    </row>
    <row r="162" spans="1:12" s="46" customFormat="1">
      <c r="A162" s="98"/>
      <c r="B162" s="99"/>
      <c r="C162" s="100"/>
      <c r="D162" s="100"/>
      <c r="G162" s="100"/>
      <c r="H162" s="100"/>
      <c r="K162" s="100"/>
      <c r="L162" s="100"/>
    </row>
    <row r="163" spans="1:12" s="46" customFormat="1">
      <c r="A163" s="98"/>
      <c r="B163" s="99"/>
      <c r="C163" s="100"/>
      <c r="D163" s="100"/>
      <c r="G163" s="100"/>
      <c r="H163" s="100"/>
      <c r="K163" s="100"/>
      <c r="L163" s="100"/>
    </row>
    <row r="164" spans="1:12" s="46" customFormat="1">
      <c r="A164" s="98"/>
      <c r="B164" s="99"/>
      <c r="C164" s="100"/>
      <c r="D164" s="100"/>
      <c r="G164" s="100"/>
      <c r="H164" s="100"/>
      <c r="K164" s="100"/>
      <c r="L164" s="100"/>
    </row>
    <row r="165" spans="1:12" s="46" customFormat="1">
      <c r="A165" s="98"/>
      <c r="B165" s="99"/>
      <c r="C165" s="100"/>
      <c r="D165" s="100"/>
      <c r="G165" s="100"/>
      <c r="H165" s="100"/>
      <c r="K165" s="100"/>
      <c r="L165" s="100"/>
    </row>
    <row r="166" spans="1:12" s="46" customFormat="1">
      <c r="A166" s="98"/>
      <c r="B166" s="99"/>
      <c r="C166" s="100"/>
      <c r="D166" s="100"/>
      <c r="G166" s="100"/>
      <c r="H166" s="100"/>
      <c r="K166" s="100"/>
      <c r="L166" s="100"/>
    </row>
    <row r="167" spans="1:12" s="46" customFormat="1">
      <c r="A167" s="98"/>
      <c r="B167" s="99"/>
      <c r="C167" s="100"/>
      <c r="D167" s="100"/>
      <c r="G167" s="100"/>
      <c r="H167" s="100"/>
      <c r="K167" s="100"/>
      <c r="L167" s="100"/>
    </row>
    <row r="168" spans="1:12" s="46" customFormat="1">
      <c r="A168" s="98"/>
      <c r="B168" s="99"/>
      <c r="C168" s="100"/>
      <c r="D168" s="100"/>
      <c r="G168" s="100"/>
      <c r="H168" s="100"/>
      <c r="K168" s="100"/>
      <c r="L168" s="100"/>
    </row>
    <row r="169" spans="1:12" s="46" customFormat="1">
      <c r="A169" s="98"/>
      <c r="B169" s="99"/>
      <c r="C169" s="100"/>
      <c r="D169" s="100"/>
      <c r="G169" s="100"/>
      <c r="H169" s="100"/>
      <c r="K169" s="100"/>
      <c r="L169" s="100"/>
    </row>
    <row r="170" spans="1:12" s="46" customFormat="1">
      <c r="A170" s="98"/>
      <c r="B170" s="99"/>
      <c r="C170" s="100"/>
      <c r="D170" s="100"/>
      <c r="G170" s="100"/>
      <c r="H170" s="100"/>
      <c r="K170" s="100"/>
      <c r="L170" s="100"/>
    </row>
    <row r="171" spans="1:12" s="46" customFormat="1">
      <c r="A171" s="98"/>
      <c r="B171" s="99"/>
      <c r="C171" s="100"/>
      <c r="D171" s="100"/>
      <c r="G171" s="100"/>
      <c r="H171" s="100"/>
      <c r="K171" s="100"/>
      <c r="L171" s="100"/>
    </row>
    <row r="172" spans="1:12" s="46" customFormat="1">
      <c r="A172" s="98"/>
      <c r="B172" s="99"/>
      <c r="C172" s="100"/>
      <c r="D172" s="100"/>
      <c r="G172" s="100"/>
      <c r="H172" s="100"/>
      <c r="K172" s="100"/>
      <c r="L172" s="100"/>
    </row>
    <row r="173" spans="1:12" s="46" customFormat="1">
      <c r="A173" s="98"/>
      <c r="B173" s="99"/>
      <c r="C173" s="100"/>
      <c r="D173" s="100"/>
      <c r="G173" s="100"/>
      <c r="H173" s="100"/>
      <c r="K173" s="100"/>
      <c r="L173" s="100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0" max="13" man="1"/>
    <brk id="1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П1.4</vt:lpstr>
      <vt:lpstr>П1.5</vt:lpstr>
      <vt:lpstr>П1.6</vt:lpstr>
      <vt:lpstr>П1.30 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'П1.30 '!Область_печати</vt:lpstr>
      <vt:lpstr>П1.4!Область_печати</vt:lpstr>
      <vt:lpstr>П1.5!Область_печати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Осокина</cp:lastModifiedBy>
  <cp:lastPrinted>2023-02-10T08:22:33Z</cp:lastPrinted>
  <dcterms:created xsi:type="dcterms:W3CDTF">2015-11-25T12:55:18Z</dcterms:created>
  <dcterms:modified xsi:type="dcterms:W3CDTF">2023-02-15T03:26:24Z</dcterms:modified>
</cp:coreProperties>
</file>