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\\Fserv\обменник\РАСКРЫТИЕ ИНФОРМАЦИИ\на сайт\19_г\"/>
    </mc:Choice>
  </mc:AlternateContent>
  <xr:revisionPtr revIDLastSave="0" documentId="13_ncr:1_{95A7218D-51E3-43B9-B42B-133B3B5AE91B}" xr6:coauthVersionLast="47" xr6:coauthVersionMax="47" xr10:uidLastSave="{00000000-0000-0000-0000-000000000000}"/>
  <bookViews>
    <workbookView xWindow="-120" yWindow="-120" windowWidth="29040" windowHeight="15720" tabRatio="858" activeTab="3" xr2:uid="{00000000-000D-0000-FFFF-FFFF00000000}"/>
  </bookViews>
  <sheets>
    <sheet name="П1.4" sheetId="33" r:id="rId1"/>
    <sheet name="П1.5" sheetId="34" r:id="rId2"/>
    <sheet name="П1.6" sheetId="35" r:id="rId3"/>
    <sheet name="П1.30 " sheetId="3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m">#REF!</definedName>
    <definedName name="\n">#REF!</definedName>
    <definedName name="\o">#REF!</definedName>
    <definedName name="____xlfn.RTD" hidden="1">#NAME?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'[1]pasiva-skutečnost'!$A$15:$A$25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'[1]pasiva-skutečnost'!$A$35:$A$48</definedName>
    <definedName name="_2___123Graph_XCHART_3" hidden="1">#N/A</definedName>
    <definedName name="_2__123Graph_ACHART_4" hidden="1">'[1]pasiva-skutečnost'!$C$35:$C$48</definedName>
    <definedName name="_3___123Graph_XCHART_4" hidden="1">#N/A</definedName>
    <definedName name="_4__123Graph_XCHART_3" hidden="1">'[1]pasiva-skutečnost'!$A$15:$A$25</definedName>
    <definedName name="_49Z_ðéóøíï_ïô_ìåì_11D5_A6F7_00508B6540C5_.wvu.Rows" hidden="1">#N/A</definedName>
    <definedName name="_5__123Graph_ACHART_4" hidden="1">'[1]pasiva-skutečnost'!$C$35:$C$48</definedName>
    <definedName name="_6__123Graph_ACHART_4" hidden="1">#N/A</definedName>
    <definedName name="_6__123Graph_XCHART_4" hidden="1">'[1]pasiva-skutečnost'!$A$35:$A$48</definedName>
    <definedName name="_9__123Graph_XCHART_3" hidden="1">#N/A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Order1" hidden="1">255</definedName>
    <definedName name="_Order2" hidden="1">255</definedName>
    <definedName name="_Regression_Out" hidden="1">#N/A</definedName>
    <definedName name="_Regression_X" hidden="1">#N/A</definedName>
    <definedName name="_Regression_Y" hidden="1">#N/A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"C:\Documents and Settings\Stassovsky\My Documents\MF\Current\2001 PROJECT N_1.mdb"</definedName>
    <definedName name="AS2DocOpenMode" hidden="1">"AS2DocumentBrowse"</definedName>
    <definedName name="AS2NamedRange" hidden="1">5</definedName>
    <definedName name="BLPH1" hidden="1">'[3]Share Price 2002'!#REF!</definedName>
    <definedName name="BLPH10" hidden="1">[4]BlooData!$AB$3</definedName>
    <definedName name="BLPH11" hidden="1">[4]BlooData!$AE$3</definedName>
    <definedName name="BLPH12" hidden="1">[4]BlooData!$AH$3</definedName>
    <definedName name="BLPH13" hidden="1">[4]Values!#REF!</definedName>
    <definedName name="BLPH14" hidden="1">[4]Values!#REF!</definedName>
    <definedName name="BLPH15" hidden="1">[4]BlooData!$AK$3</definedName>
    <definedName name="BLPH16" hidden="1">[4]BlooData!$AN$3</definedName>
    <definedName name="BLPH17" hidden="1">[4]BlooData!$AQ$3</definedName>
    <definedName name="BLPH18" hidden="1">[4]BlooData!$AT$3</definedName>
    <definedName name="BLPH19" hidden="1">[4]BlooData!$AW$3</definedName>
    <definedName name="BLPH2" hidden="1">'[3]Share Price 2002'!#REF!</definedName>
    <definedName name="BLPH3" hidden="1">[4]BlooData!$G$3</definedName>
    <definedName name="BLPH4" hidden="1">'[5]EC552378 Corp Cusip8'!$A$3</definedName>
    <definedName name="BLPH5" hidden="1">'[5]TT333718 Govt'!$A$3</definedName>
    <definedName name="BLPH6" hidden="1">[4]BlooData!$P$3</definedName>
    <definedName name="BLPH7" hidden="1">[4]BlooData!$S$3</definedName>
    <definedName name="BLPH8" hidden="1">[4]BlooData!$V$3</definedName>
    <definedName name="BLPH9" hidden="1">[4]BlooData!$Y$3</definedName>
    <definedName name="CompOt" localSheetId="3">'П1.30 '!CompOt</definedName>
    <definedName name="CompOt">[0]!CompOt</definedName>
    <definedName name="CompRas" localSheetId="3">'П1.30 '!CompRas</definedName>
    <definedName name="CompRas">[0]!CompRas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w" localSheetId="3">'П1.30 '!ew</definedName>
    <definedName name="ew">[0]!ew</definedName>
    <definedName name="fg" localSheetId="3">'П1.30 '!fg</definedName>
    <definedName name="fg">[0]!fg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ML_CodePage" hidden="1">1252</definedName>
    <definedName name="HTML_Description" hidden="1">""</definedName>
    <definedName name="HTML_Email" hidden="1">""</definedName>
    <definedName name="HTML_Header" hidden="1">"нлмк"</definedName>
    <definedName name="HTML_LastUpdate" hidden="1">"7/8/03"</definedName>
    <definedName name="HTML_LineAfter" hidden="1">FALSE</definedName>
    <definedName name="HTML_LineBefore" hidden="1">FALSE</definedName>
    <definedName name="HTML_Name" hidden="1">"Alex"</definedName>
    <definedName name="HTML_OBDlg2" hidden="1">TRUE</definedName>
    <definedName name="HTML_OBDlg4" hidden="1">TRUE</definedName>
    <definedName name="HTML_OS" hidden="1">1</definedName>
    <definedName name="HTML_PathFileMac" hidden="1">"MacOS 9.1:Desktop Folder:Окончательные Матрицы:MyHTML.html"</definedName>
    <definedName name="HTML_Title" hidden="1">"ценности"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3">'П1.30 '!k</definedName>
    <definedName name="k">[0]!k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hidden="1">#REF!,#REF!,#REF!,#REF!,#REF!,#REF!,#REF!</definedName>
    <definedName name="P1_SCOPE_SV_LD1" hidden="1">[6]свод!$E$70:$M$79,[6]свод!$E$81:$M$81,[6]свод!$E$83:$M$88,[6]свод!$E$90:$M$90,[6]свод!$E$92:$M$96,[6]свод!$E$98:$M$98,[6]свод!$E$101:$M$102</definedName>
    <definedName name="P1_SCOPE_SV_PRT" hidden="1">[6]свод!$E$18:$I$19,[6]свод!$E$23:$H$26,[6]свод!$E$28:$I$29,[6]свод!$E$32:$I$36,[6]свод!$E$38:$I$40,[6]свод!$E$42:$I$53,[6]свод!$E$55:$I$56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hidden="1">[6]свод!$E$58:$I$63,[6]свод!$E$72:$I$79,[6]свод!$E$81:$I$81,[6]свод!$E$85:$H$88,[6]свод!$E$90:$I$90,[6]свод!$E$107:$I$112,[6]свод!$E$114:$I$117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hidden="1">[6]свод!$E$121:$I$121,[6]свод!$E$124:$H$127,[6]свод!$D$135:$G$135,[6]свод!$I$135:$I$140,[6]свод!$H$137:$H$140,[6]свод!$D$138:$G$140,[6]свод!$E$15:$I$16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8_SCOPE_PER_PRT" localSheetId="3" hidden="1">[6]перекрестка!$J$84:$K$88,[6]перекрестка!$N$84:$N$88,[6]перекрестка!$F$14:$G$25,P1_SCOPE_PER_PRT,P2_SCOPE_PER_PRT,P3_SCOPE_PER_PRT,P4_SCOPE_PER_PRT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egion_name">[7]Титульный!$E$6</definedName>
    <definedName name="REGIONS">[6]TEHSHEET!$C$6:$C$93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hrIndnt" hidden="1">3</definedName>
    <definedName name="SAPBEXrevision" hidden="1">1</definedName>
    <definedName name="SAPBEXsysID" hidden="1">"BWP"</definedName>
    <definedName name="SAPBEXwbID" hidden="1">"67TWS3K7TFS2FYADW85707BPT"</definedName>
    <definedName name="SCENARIOS">[6]TEHSHEET!$K$6:$K$7</definedName>
    <definedName name="SCOPE_16_PRT" localSheetId="3">P1_SCOPE_16_PRT,P2_SCOPE_16_PRT</definedName>
    <definedName name="SCOPE_16_PRT">P1_SCOPE_16_PRT,P2_SCOPE_16_PRT</definedName>
    <definedName name="SCOPE_17.1_PRT">'[6]17.1'!$D$14:$F$17,'[6]17.1'!$D$19:$F$22,'[6]17.1'!$I$9:$I$12,'[6]17.1'!$I$14:$I$17,'[6]17.1'!$I$19:$I$22,'[6]17.1'!$D$9:$F$12</definedName>
    <definedName name="SCOPE_17_PRT" localSheetId="3">'[6]17'!$J$39:$M$41,'[6]17'!$E$43:$H$51,'[6]17'!$J$43:$M$51,'[6]17'!$E$54:$H$56,'[6]17'!$E$58:$H$66,'[6]17'!$E$69:$M$81,'[6]17'!$E$9:$H$11,P1_SCOPE_17_PRT</definedName>
    <definedName name="SCOPE_17_PRT">'[6]17'!$J$39:$M$41,'[6]17'!$E$43:$H$51,'[6]17'!$J$43:$M$51,'[6]17'!$E$54:$H$56,'[6]17'!$E$58:$H$66,'[6]17'!$E$69:$M$81,'[6]17'!$E$9:$H$11,P1_SCOPE_17_PRT</definedName>
    <definedName name="SCOPE_24_LD">'[6]24'!$E$8:$J$47,'[6]24'!$E$49:$J$66</definedName>
    <definedName name="SCOPE_24_PRT">'[6]24'!$E$41:$I$41,'[6]24'!$E$34:$I$34,'[6]24'!$E$36:$I$36,'[6]24'!$E$43:$I$43</definedName>
    <definedName name="SCOPE_25_PRT">'[6]25'!$E$20:$I$20,'[6]25'!$E$34:$I$34,'[6]25'!$E$41:$I$41,'[6]25'!$E$8:$I$10</definedName>
    <definedName name="SCOPE_4_PRT" localSheetId="3">'[6]4'!$Z$27:$AC$31,'[6]4'!$F$14:$I$20,P1_SCOPE_4_PRT,P2_SCOPE_4_PRT</definedName>
    <definedName name="SCOPE_4_PRT">'[6]4'!$Z$27:$AC$31,'[6]4'!$F$14:$I$20,P1_SCOPE_4_PRT,P2_SCOPE_4_PRT</definedName>
    <definedName name="SCOPE_5_PRT" localSheetId="3">'[6]5'!$Z$27:$AC$31,'[6]5'!$F$14:$I$21,P1_SCOPE_5_PRT,P2_SCOPE_5_PRT</definedName>
    <definedName name="SCOPE_5_PRT">'[6]5'!$Z$27:$AC$31,'[6]5'!$F$14:$I$21,P1_SCOPE_5_PRT,P2_SCOPE_5_PRT</definedName>
    <definedName name="SCOPE_F1_PRT" localSheetId="3">'[6]Ф-1 (для АО-энерго)'!$D$86:$E$95,P1_SCOPE_F1_PRT,P2_SCOPE_F1_PRT,P3_SCOPE_F1_PRT,P4_SCOPE_F1_PRT</definedName>
    <definedName name="SCOPE_F1_PRT">'[6]Ф-1 (для АО-энерго)'!$D$86:$E$95,P1_SCOPE_F1_PRT,P2_SCOPE_F1_PRT,P3_SCOPE_F1_PRT,P4_SCOPE_F1_PRT</definedName>
    <definedName name="SCOPE_F2_PRT" localSheetId="3">'[6]Ф-2 (для АО-энерго)'!$C$5:$D$5,'[6]Ф-2 (для АО-энерго)'!$C$52:$C$57,'[6]Ф-2 (для АО-энерго)'!$D$57:$G$57,P1_SCOPE_F2_PRT,P2_SCOPE_F2_PRT</definedName>
    <definedName name="SCOPE_F2_PRT">'[6]Ф-2 (для АО-энерго)'!$C$5:$D$5,'[6]Ф-2 (для АО-энерго)'!$C$52:$C$57,'[6]Ф-2 (для АО-энерго)'!$D$57:$G$57,P1_SCOPE_F2_PRT,P2_SCOPE_F2_PRT</definedName>
    <definedName name="SCOPE_PER_PRT" localSheetId="3">P5_SCOPE_PER_PRT,P6_SCOPE_PER_PRT,P7_SCOPE_PER_PRT,'П1.30 '!P8_SCOPE_PER_PRT</definedName>
    <definedName name="SCOPE_PER_PRT">P5_SCOPE_PER_PRT,P6_SCOPE_PER_PRT,P7_SCOPE_PER_PRT,P8_SCOPE_PER_PRT</definedName>
    <definedName name="SCOPE_SPR_PRT">[6]Справочники!$D$21:$J$22,[6]Справочники!$E$13:$I$14,[6]Справочники!$F$27:$H$28</definedName>
    <definedName name="SCOPE_SV_LD1" localSheetId="3">[6]свод!$E$104:$M$104,[6]свод!$E$106:$M$117,[6]свод!$E$120:$M$121,[6]свод!$E$123:$M$127,[6]свод!$E$10:$M$68,P1_SCOPE_SV_LD1</definedName>
    <definedName name="SCOPE_SV_LD1">[6]свод!$E$104:$M$104,[6]свод!$E$106:$M$117,[6]свод!$E$120:$M$121,[6]свод!$E$123:$M$127,[6]свод!$E$10:$M$68,P1_SCOPE_SV_LD1</definedName>
    <definedName name="SCOPE_SV_PRT" localSheetId="3">P1_SCOPE_SV_PRT,P2_SCOPE_SV_PRT,P3_SCOPE_SV_PRT</definedName>
    <definedName name="SCOPE_SV_PRT">P1_SCOPE_SV_PRT,P2_SCOPE_SV_PRT,P3_SCOPE_SV_PRT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hidden="1">#REF!</definedName>
    <definedName name="wqw" hidden="1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hidden="1">{"Valuation_Common",#N/A,FALSE,"Valuation"}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'[8]ПРИЛОЖЕНИЕ 2'!$D$6</definedName>
    <definedName name="XLRPARAMS_Name" hidden="1">'[8]ПРИЛОЖЕНИЕ 2'!$B$6</definedName>
    <definedName name="XLRPARAMS_Period" hidden="1">'[8]ПРИЛОЖЕНИЕ 2'!$C$6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23ё" localSheetId="3">'П1.30 '!в23ё</definedName>
    <definedName name="в23ё">[0]!в23ё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3">'П1.30 '!вв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торой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xlnm.Print_Titles" localSheetId="3">'П1.30 '!$6:$6</definedName>
    <definedName name="_xlnm.Print_Titles" localSheetId="0">'П1.4'!$A:$C</definedName>
    <definedName name="_xlnm.Print_Titles" localSheetId="1">'П1.5'!$A:$C</definedName>
    <definedName name="_xlnm.Print_Titles" localSheetId="2">'П1.6'!$1:$7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" localSheetId="3">'П1.30 '!й</definedName>
    <definedName name="й">[0]!й</definedName>
    <definedName name="йй" localSheetId="3">'П1.30 '!йй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hidden="1">{#N/A,#N/A,TRUE,"Лист2"}</definedName>
    <definedName name="ке" localSheetId="3">'П1.30 '!ке</definedName>
    <definedName name="ке">[0]!ке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ым" localSheetId="3">'П1.30 '!мым</definedName>
    <definedName name="мым">[0]!мым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_xlnm.Print_Area" localSheetId="3">'П1.30 '!$A$1:$N$158</definedName>
    <definedName name="_xlnm.Print_Area" localSheetId="0">'П1.4'!$A$1:$R$36</definedName>
    <definedName name="_xlnm.Print_Area" localSheetId="1">'П1.5'!$A$1:$X$37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ервый">#REF!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ыпыппывапа" hidden="1">#REF!,#REF!,#REF!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л" hidden="1">"CPBD6WTRUEFAZMP2FHSLP2KUP"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3">'П1.30 '!с</definedName>
    <definedName name="с">[0]!с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3">'П1.30 '!сс</definedName>
    <definedName name="сс">[0]!сс</definedName>
    <definedName name="сссс" localSheetId="3">'П1.30 '!сссс</definedName>
    <definedName name="сссс">[0]!сссс</definedName>
    <definedName name="ссы" localSheetId="3">'П1.30 '!ссы</definedName>
    <definedName name="ссы">[0]!ссы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ретий">#REF!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3">'П1.30 '!у</definedName>
    <definedName name="у">[0]!у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ц" localSheetId="3">'П1.30 '!ц</definedName>
    <definedName name="ц">[0]!ц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" localSheetId="3">'П1.30 '!цу</definedName>
    <definedName name="цу">[0]!цу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вертый">#REF!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 localSheetId="3">'П1.30 '!ыв</definedName>
    <definedName name="ыв">[0]!ыв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3">'П1.30 '!ыыыы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35" l="1"/>
  <c r="H96" i="35"/>
  <c r="K99" i="35"/>
  <c r="J126" i="35"/>
  <c r="H126" i="35" s="1"/>
  <c r="N33" i="33"/>
  <c r="I30" i="33"/>
  <c r="I33" i="33"/>
  <c r="D33" i="33"/>
  <c r="D30" i="33"/>
  <c r="N33" i="34"/>
  <c r="I33" i="34"/>
  <c r="D33" i="34"/>
  <c r="D30" i="34"/>
  <c r="I30" i="34"/>
  <c r="K130" i="36"/>
  <c r="G130" i="36"/>
  <c r="C130" i="36"/>
  <c r="I127" i="36"/>
  <c r="G127" i="36"/>
  <c r="E127" i="36"/>
  <c r="C127" i="36"/>
  <c r="I130" i="35"/>
  <c r="M28" i="36" s="1"/>
  <c r="M130" i="36"/>
  <c r="I130" i="36"/>
  <c r="E130" i="36"/>
  <c r="K149" i="36"/>
  <c r="I149" i="36"/>
  <c r="G149" i="36"/>
  <c r="E149" i="36"/>
  <c r="C149" i="36"/>
  <c r="K151" i="36"/>
  <c r="I151" i="36"/>
  <c r="G151" i="36"/>
  <c r="E151" i="36"/>
  <c r="C151" i="36"/>
  <c r="K145" i="36"/>
  <c r="I145" i="36"/>
  <c r="G145" i="36"/>
  <c r="E145" i="36"/>
  <c r="C145" i="36"/>
  <c r="B145" i="36"/>
  <c r="K143" i="36"/>
  <c r="I143" i="36"/>
  <c r="G143" i="36"/>
  <c r="E143" i="36"/>
  <c r="C143" i="36"/>
  <c r="K139" i="36"/>
  <c r="I139" i="36"/>
  <c r="G139" i="36"/>
  <c r="E139" i="36"/>
  <c r="C139" i="36"/>
  <c r="I137" i="36"/>
  <c r="I136" i="36"/>
  <c r="G136" i="36"/>
  <c r="E136" i="36"/>
  <c r="C136" i="36"/>
  <c r="K136" i="36" s="1"/>
  <c r="I134" i="36"/>
  <c r="G134" i="36"/>
  <c r="E134" i="36"/>
  <c r="C134" i="36"/>
  <c r="C135" i="36" s="1"/>
  <c r="M126" i="36"/>
  <c r="I113" i="36"/>
  <c r="G113" i="36"/>
  <c r="E113" i="36"/>
  <c r="C113" i="36"/>
  <c r="B99" i="36"/>
  <c r="I111" i="36"/>
  <c r="G111" i="36"/>
  <c r="C111" i="36"/>
  <c r="E111" i="36"/>
  <c r="K124" i="35"/>
  <c r="H8" i="34"/>
  <c r="R8" i="33"/>
  <c r="M8" i="33"/>
  <c r="H8" i="33"/>
  <c r="R7" i="33"/>
  <c r="M7" i="33"/>
  <c r="H7" i="33"/>
  <c r="H7" i="34"/>
  <c r="G7" i="34"/>
  <c r="K125" i="35"/>
  <c r="K120" i="35"/>
  <c r="J120" i="35"/>
  <c r="J110" i="35"/>
  <c r="K110" i="35"/>
  <c r="K111" i="35"/>
  <c r="F111" i="35"/>
  <c r="F124" i="35"/>
  <c r="E112" i="35"/>
  <c r="G109" i="35"/>
  <c r="F128" i="35"/>
  <c r="F129" i="35"/>
  <c r="E128" i="35"/>
  <c r="I124" i="35"/>
  <c r="J124" i="35"/>
  <c r="D124" i="35"/>
  <c r="E124" i="35"/>
  <c r="K113" i="35"/>
  <c r="J112" i="35"/>
  <c r="J30" i="34"/>
  <c r="H124" i="35" l="1"/>
  <c r="I126" i="35"/>
  <c r="C124" i="35"/>
  <c r="R30" i="34"/>
  <c r="M30" i="34"/>
  <c r="H30" i="34"/>
  <c r="J27" i="35"/>
  <c r="K27" i="35"/>
  <c r="L27" i="35"/>
  <c r="I27" i="35"/>
  <c r="H36" i="35"/>
  <c r="K129" i="35"/>
  <c r="M136" i="36" s="1"/>
  <c r="E30" i="34"/>
  <c r="N18" i="34"/>
  <c r="M113" i="36" l="1"/>
  <c r="G104" i="35"/>
  <c r="F113" i="35"/>
  <c r="H113" i="35"/>
  <c r="C113" i="35"/>
  <c r="H112" i="35"/>
  <c r="C112" i="35"/>
  <c r="C29" i="35"/>
  <c r="H29" i="35"/>
  <c r="M29" i="35"/>
  <c r="C30" i="35"/>
  <c r="H30" i="35"/>
  <c r="H69" i="35"/>
  <c r="C69" i="35"/>
  <c r="H68" i="35"/>
  <c r="C68" i="35"/>
  <c r="C80" i="35"/>
  <c r="H80" i="35"/>
  <c r="C36" i="35"/>
  <c r="M36" i="35" s="1"/>
  <c r="H55" i="35"/>
  <c r="C55" i="35"/>
  <c r="L52" i="35"/>
  <c r="L90" i="35" s="1"/>
  <c r="G52" i="35"/>
  <c r="L99" i="35"/>
  <c r="L96" i="35" s="1"/>
  <c r="G99" i="35"/>
  <c r="G96" i="35" s="1"/>
  <c r="C100" i="35"/>
  <c r="C59" i="35"/>
  <c r="C56" i="35"/>
  <c r="C54" i="35"/>
  <c r="L9" i="35"/>
  <c r="L46" i="35" s="1"/>
  <c r="G9" i="35"/>
  <c r="G46" i="35" s="1"/>
  <c r="H31" i="33" s="1"/>
  <c r="C12" i="35"/>
  <c r="R13" i="33"/>
  <c r="M13" i="33"/>
  <c r="H13" i="33"/>
  <c r="M30" i="33"/>
  <c r="R30" i="33" s="1"/>
  <c r="H30" i="33"/>
  <c r="R33" i="33"/>
  <c r="L22" i="33"/>
  <c r="K22" i="33"/>
  <c r="J22" i="33"/>
  <c r="F22" i="33"/>
  <c r="G22" i="33"/>
  <c r="E22" i="33"/>
  <c r="L16" i="33"/>
  <c r="K16" i="33"/>
  <c r="J16" i="33"/>
  <c r="L134" i="35" l="1"/>
  <c r="M31" i="34"/>
  <c r="H31" i="34"/>
  <c r="M112" i="35"/>
  <c r="M30" i="35"/>
  <c r="M80" i="35"/>
  <c r="M68" i="35"/>
  <c r="R31" i="34" l="1"/>
  <c r="O26" i="34"/>
  <c r="D123" i="35"/>
  <c r="D118" i="35"/>
  <c r="I114" i="35" l="1"/>
  <c r="K127" i="35" l="1"/>
  <c r="I123" i="35"/>
  <c r="O27" i="33" l="1"/>
  <c r="P27" i="33"/>
  <c r="Q27" i="33"/>
  <c r="L26" i="33"/>
  <c r="K26" i="33"/>
  <c r="J26" i="33"/>
  <c r="F26" i="33"/>
  <c r="G26" i="33"/>
  <c r="J123" i="35"/>
  <c r="H123" i="35" s="1"/>
  <c r="E123" i="35"/>
  <c r="C123" i="35" s="1"/>
  <c r="H79" i="35"/>
  <c r="C79" i="35"/>
  <c r="B79" i="35"/>
  <c r="B123" i="35" s="1"/>
  <c r="H35" i="35"/>
  <c r="C35" i="35"/>
  <c r="J125" i="35"/>
  <c r="H24" i="35"/>
  <c r="H25" i="35"/>
  <c r="C24" i="35"/>
  <c r="C25" i="35"/>
  <c r="M25" i="35" s="1"/>
  <c r="M123" i="35" l="1"/>
  <c r="P26" i="33"/>
  <c r="Q26" i="33"/>
  <c r="M79" i="35"/>
  <c r="M35" i="35"/>
  <c r="M12" i="36"/>
  <c r="I26" i="36"/>
  <c r="I132" i="36" s="1"/>
  <c r="G26" i="36"/>
  <c r="G132" i="36" s="1"/>
  <c r="E26" i="36"/>
  <c r="E132" i="36" s="1"/>
  <c r="C26" i="36"/>
  <c r="C132" i="36" s="1"/>
  <c r="N28" i="34" l="1"/>
  <c r="I28" i="34" l="1"/>
  <c r="D28" i="34"/>
  <c r="I110" i="35"/>
  <c r="H110" i="35" s="1"/>
  <c r="C128" i="35"/>
  <c r="K128" i="35"/>
  <c r="M134" i="36" s="1"/>
  <c r="C84" i="35"/>
  <c r="G30" i="36" s="1"/>
  <c r="H84" i="35"/>
  <c r="I30" i="36" s="1"/>
  <c r="C40" i="35"/>
  <c r="C30" i="36" s="1"/>
  <c r="H40" i="35"/>
  <c r="E30" i="36" l="1"/>
  <c r="M30" i="36" s="1"/>
  <c r="H128" i="35"/>
  <c r="M128" i="35" s="1"/>
  <c r="K126" i="35"/>
  <c r="M40" i="35"/>
  <c r="M84" i="35"/>
  <c r="K114" i="35"/>
  <c r="K109" i="35" s="1"/>
  <c r="F114" i="35"/>
  <c r="K98" i="35"/>
  <c r="O28" i="33"/>
  <c r="I28" i="36" l="1"/>
  <c r="I85" i="36" s="1"/>
  <c r="G28" i="36"/>
  <c r="G85" i="36" s="1"/>
  <c r="E28" i="36"/>
  <c r="C28" i="36"/>
  <c r="C85" i="36" s="1"/>
  <c r="I16" i="36"/>
  <c r="I15" i="36"/>
  <c r="I14" i="36"/>
  <c r="E16" i="36"/>
  <c r="E15" i="36"/>
  <c r="E14" i="36"/>
  <c r="M14" i="36" s="1"/>
  <c r="M15" i="36" l="1"/>
  <c r="M85" i="36"/>
  <c r="M16" i="36"/>
  <c r="E85" i="36"/>
  <c r="D130" i="35" l="1"/>
  <c r="C86" i="35"/>
  <c r="H86" i="35"/>
  <c r="C42" i="35"/>
  <c r="H42" i="35"/>
  <c r="D117" i="35"/>
  <c r="I117" i="35"/>
  <c r="I118" i="35"/>
  <c r="N16" i="34"/>
  <c r="N29" i="34"/>
  <c r="Q30" i="34"/>
  <c r="M127" i="36" s="1"/>
  <c r="P7" i="34"/>
  <c r="P30" i="34" l="1"/>
  <c r="N36" i="34"/>
  <c r="M22" i="36" s="1"/>
  <c r="N22" i="34"/>
  <c r="C130" i="35"/>
  <c r="D126" i="35"/>
  <c r="M86" i="35"/>
  <c r="M42" i="35"/>
  <c r="H130" i="35"/>
  <c r="M130" i="35" s="1"/>
  <c r="L16" i="34"/>
  <c r="K16" i="34"/>
  <c r="J16" i="34"/>
  <c r="G16" i="34"/>
  <c r="F16" i="34"/>
  <c r="Q7" i="34" l="1"/>
  <c r="K11" i="34"/>
  <c r="E16" i="34"/>
  <c r="I111" i="35"/>
  <c r="I125" i="35"/>
  <c r="R13" i="34" l="1"/>
  <c r="M139" i="36" s="1"/>
  <c r="M143" i="36" s="1"/>
  <c r="M145" i="36" s="1"/>
  <c r="M118" i="36"/>
  <c r="R7" i="34"/>
  <c r="R8" i="34"/>
  <c r="I122" i="35"/>
  <c r="H77" i="35"/>
  <c r="H33" i="35"/>
  <c r="K103" i="35"/>
  <c r="J99" i="35"/>
  <c r="M111" i="36" l="1"/>
  <c r="M151" i="36"/>
  <c r="M149" i="36"/>
  <c r="M26" i="36"/>
  <c r="M132" i="36" s="1"/>
  <c r="N26" i="34"/>
  <c r="J121" i="35"/>
  <c r="J115" i="35" s="1"/>
  <c r="E121" i="35"/>
  <c r="C121" i="35" s="1"/>
  <c r="C77" i="35"/>
  <c r="M77" i="35" s="1"/>
  <c r="H121" i="35" l="1"/>
  <c r="M121" i="35" s="1"/>
  <c r="D114" i="35" l="1"/>
  <c r="M24" i="35"/>
  <c r="C33" i="35"/>
  <c r="M33" i="35" s="1"/>
  <c r="E16" i="33"/>
  <c r="F16" i="33"/>
  <c r="G16" i="33"/>
  <c r="C36" i="36" l="1"/>
  <c r="E131" i="35"/>
  <c r="D122" i="35"/>
  <c r="C122" i="35" s="1"/>
  <c r="H122" i="35"/>
  <c r="C78" i="35"/>
  <c r="H78" i="35"/>
  <c r="H43" i="35"/>
  <c r="C43" i="35"/>
  <c r="C34" i="35"/>
  <c r="H34" i="35"/>
  <c r="E35" i="36" l="1"/>
  <c r="M34" i="35"/>
  <c r="M43" i="35"/>
  <c r="M78" i="35"/>
  <c r="C35" i="36"/>
  <c r="M122" i="35"/>
  <c r="B70" i="35"/>
  <c r="B114" i="35" s="1"/>
  <c r="J7" i="36" l="1"/>
  <c r="N17" i="34"/>
  <c r="N19" i="34"/>
  <c r="N20" i="34"/>
  <c r="N21" i="34"/>
  <c r="I17" i="34"/>
  <c r="I18" i="34"/>
  <c r="I19" i="34"/>
  <c r="I20" i="34"/>
  <c r="I21" i="34"/>
  <c r="D17" i="34"/>
  <c r="D18" i="34"/>
  <c r="D19" i="34"/>
  <c r="D20" i="34"/>
  <c r="D21" i="34"/>
  <c r="Q21" i="33"/>
  <c r="N21" i="33" s="1"/>
  <c r="P20" i="33"/>
  <c r="N20" i="33" s="1"/>
  <c r="O19" i="33"/>
  <c r="N19" i="33" s="1"/>
  <c r="P18" i="33"/>
  <c r="Q18" i="33"/>
  <c r="O18" i="33"/>
  <c r="O17" i="33"/>
  <c r="N17" i="33" s="1"/>
  <c r="I17" i="33"/>
  <c r="G12" i="36" s="1"/>
  <c r="I18" i="33"/>
  <c r="G13" i="36" s="1"/>
  <c r="I19" i="33"/>
  <c r="G14" i="36" s="1"/>
  <c r="I20" i="33"/>
  <c r="G16" i="36" s="1"/>
  <c r="I21" i="33"/>
  <c r="G15" i="36" s="1"/>
  <c r="D17" i="33"/>
  <c r="C12" i="36" s="1"/>
  <c r="D18" i="33"/>
  <c r="C13" i="36" s="1"/>
  <c r="D19" i="33"/>
  <c r="C14" i="36" s="1"/>
  <c r="D20" i="33"/>
  <c r="C16" i="36" s="1"/>
  <c r="D21" i="33"/>
  <c r="C15" i="36" s="1"/>
  <c r="C31" i="36" s="1"/>
  <c r="N18" i="33" l="1"/>
  <c r="M72" i="36"/>
  <c r="H22" i="35"/>
  <c r="I120" i="35"/>
  <c r="H120" i="35" s="1"/>
  <c r="K116" i="35"/>
  <c r="K115" i="35" s="1"/>
  <c r="I116" i="35"/>
  <c r="H28" i="35"/>
  <c r="N7" i="36" l="1"/>
  <c r="J114" i="35" l="1"/>
  <c r="J109" i="35" s="1"/>
  <c r="I119" i="35"/>
  <c r="I109" i="35" l="1"/>
  <c r="H109" i="35" s="1"/>
  <c r="T8" i="34"/>
  <c r="T9" i="34"/>
  <c r="U9" i="34"/>
  <c r="V9" i="34"/>
  <c r="T10" i="34"/>
  <c r="U10" i="34"/>
  <c r="V10" i="34"/>
  <c r="T11" i="34"/>
  <c r="V11" i="34"/>
  <c r="T12" i="34"/>
  <c r="U12" i="34"/>
  <c r="T13" i="34"/>
  <c r="U13" i="34"/>
  <c r="V13" i="34"/>
  <c r="T14" i="34"/>
  <c r="U14" i="34"/>
  <c r="V14" i="34"/>
  <c r="T15" i="34"/>
  <c r="U15" i="34"/>
  <c r="V15" i="34"/>
  <c r="T16" i="34"/>
  <c r="U16" i="34"/>
  <c r="V16" i="34"/>
  <c r="T22" i="34"/>
  <c r="U22" i="34"/>
  <c r="V22" i="34"/>
  <c r="T24" i="34"/>
  <c r="U24" i="34"/>
  <c r="V24" i="34"/>
  <c r="T25" i="34"/>
  <c r="U25" i="34"/>
  <c r="V25" i="34"/>
  <c r="T29" i="34"/>
  <c r="U29" i="34"/>
  <c r="V29" i="34"/>
  <c r="T32" i="34"/>
  <c r="U32" i="34"/>
  <c r="V32" i="34"/>
  <c r="T33" i="34"/>
  <c r="U33" i="34"/>
  <c r="V33" i="34"/>
  <c r="T34" i="34"/>
  <c r="U34" i="34"/>
  <c r="V34" i="34"/>
  <c r="T35" i="34"/>
  <c r="U35" i="34"/>
  <c r="V35" i="34"/>
  <c r="T36" i="34"/>
  <c r="U36" i="34"/>
  <c r="V36" i="34"/>
  <c r="S8" i="34"/>
  <c r="S9" i="34"/>
  <c r="S10" i="34"/>
  <c r="S11" i="34"/>
  <c r="S12" i="34"/>
  <c r="S13" i="34"/>
  <c r="S14" i="34"/>
  <c r="S15" i="34"/>
  <c r="S24" i="34"/>
  <c r="S25" i="34"/>
  <c r="S32" i="34"/>
  <c r="S34" i="34"/>
  <c r="S35" i="34"/>
  <c r="F30" i="34"/>
  <c r="C118" i="35" l="1"/>
  <c r="D119" i="35"/>
  <c r="C119" i="35" s="1"/>
  <c r="D120" i="35"/>
  <c r="E120" i="35"/>
  <c r="F120" i="35"/>
  <c r="D125" i="35"/>
  <c r="E125" i="35"/>
  <c r="F125" i="35"/>
  <c r="F116" i="35"/>
  <c r="E114" i="35"/>
  <c r="D111" i="35"/>
  <c r="E110" i="35"/>
  <c r="E109" i="35" s="1"/>
  <c r="F110" i="35"/>
  <c r="F109" i="35" s="1"/>
  <c r="H125" i="35"/>
  <c r="H119" i="35"/>
  <c r="H118" i="35"/>
  <c r="H117" i="35"/>
  <c r="C117" i="35"/>
  <c r="H81" i="35"/>
  <c r="C81" i="35"/>
  <c r="H76" i="35"/>
  <c r="C76" i="35"/>
  <c r="H75" i="35"/>
  <c r="C75" i="35"/>
  <c r="H74" i="35"/>
  <c r="C74" i="35"/>
  <c r="H73" i="35"/>
  <c r="C73" i="35"/>
  <c r="F115" i="35" l="1"/>
  <c r="E115" i="35"/>
  <c r="E104" i="35"/>
  <c r="C120" i="35"/>
  <c r="M120" i="35" s="1"/>
  <c r="C125" i="35"/>
  <c r="M125" i="35" s="1"/>
  <c r="M81" i="35"/>
  <c r="M76" i="35"/>
  <c r="M119" i="35"/>
  <c r="M75" i="35"/>
  <c r="M118" i="35"/>
  <c r="M117" i="35"/>
  <c r="M73" i="35"/>
  <c r="H114" i="35"/>
  <c r="C32" i="35" l="1"/>
  <c r="H32" i="35"/>
  <c r="M32" i="35" l="1"/>
  <c r="I71" i="35"/>
  <c r="I115" i="35"/>
  <c r="H115" i="35" s="1"/>
  <c r="J71" i="35"/>
  <c r="K71" i="35"/>
  <c r="K96" i="35"/>
  <c r="K52" i="35"/>
  <c r="K9" i="35"/>
  <c r="E27" i="35"/>
  <c r="E71" i="35"/>
  <c r="F27" i="35"/>
  <c r="D27" i="35"/>
  <c r="F71" i="35"/>
  <c r="D71" i="35"/>
  <c r="F52" i="35"/>
  <c r="F9" i="35"/>
  <c r="F98" i="35"/>
  <c r="C98" i="35" s="1"/>
  <c r="K134" i="35" l="1"/>
  <c r="J104" i="35"/>
  <c r="I104" i="35"/>
  <c r="B132" i="35"/>
  <c r="H104" i="35" l="1"/>
  <c r="J96" i="35"/>
  <c r="H56" i="35"/>
  <c r="H13" i="35"/>
  <c r="C13" i="35"/>
  <c r="J52" i="35"/>
  <c r="E52" i="35"/>
  <c r="J9" i="35"/>
  <c r="E9" i="35"/>
  <c r="J134" i="35" l="1"/>
  <c r="M79" i="36"/>
  <c r="P31" i="34" l="1"/>
  <c r="M87" i="36"/>
  <c r="I87" i="36"/>
  <c r="E87" i="36"/>
  <c r="M107" i="36"/>
  <c r="I107" i="36"/>
  <c r="E107" i="36"/>
  <c r="M83" i="36"/>
  <c r="I83" i="36"/>
  <c r="E83" i="36"/>
  <c r="I79" i="36"/>
  <c r="E79" i="36"/>
  <c r="K82" i="35" l="1"/>
  <c r="J82" i="35"/>
  <c r="I82" i="35"/>
  <c r="E82" i="35"/>
  <c r="F82" i="35"/>
  <c r="D82" i="35"/>
  <c r="K65" i="35"/>
  <c r="J65" i="35"/>
  <c r="I65" i="35"/>
  <c r="F65" i="35"/>
  <c r="F60" i="35" s="1"/>
  <c r="E65" i="35"/>
  <c r="D65" i="35"/>
  <c r="K21" i="35"/>
  <c r="J21" i="35"/>
  <c r="I21" i="35"/>
  <c r="I17" i="35" s="1"/>
  <c r="K38" i="35"/>
  <c r="J38" i="35"/>
  <c r="I38" i="35"/>
  <c r="E21" i="35"/>
  <c r="F21" i="35"/>
  <c r="D21" i="35"/>
  <c r="E38" i="35"/>
  <c r="F38" i="35"/>
  <c r="D38" i="35"/>
  <c r="H89" i="35"/>
  <c r="K17" i="35" l="1"/>
  <c r="D17" i="35"/>
  <c r="H65" i="35"/>
  <c r="H71" i="35"/>
  <c r="F11" i="34"/>
  <c r="U11" i="34" l="1"/>
  <c r="D29" i="33"/>
  <c r="G87" i="36"/>
  <c r="G83" i="36"/>
  <c r="E137" i="36"/>
  <c r="C137" i="36"/>
  <c r="C87" i="36"/>
  <c r="G107" i="36"/>
  <c r="C107" i="36"/>
  <c r="G79" i="36"/>
  <c r="C79" i="36"/>
  <c r="C83" i="36"/>
  <c r="C89" i="35" l="1"/>
  <c r="K11" i="33"/>
  <c r="F11" i="33"/>
  <c r="E96" i="35" l="1"/>
  <c r="O23" i="34"/>
  <c r="J23" i="34"/>
  <c r="E23" i="34"/>
  <c r="T23" i="34" l="1"/>
  <c r="P26" i="34" l="1"/>
  <c r="Q26" i="34"/>
  <c r="K26" i="34"/>
  <c r="L26" i="34"/>
  <c r="F26" i="34"/>
  <c r="G26" i="34"/>
  <c r="N27" i="34" l="1"/>
  <c r="V26" i="34"/>
  <c r="U26" i="34"/>
  <c r="I16" i="33"/>
  <c r="D16" i="33"/>
  <c r="D7" i="33" s="1"/>
  <c r="C10" i="36" s="1"/>
  <c r="U27" i="34" l="1"/>
  <c r="V27" i="34"/>
  <c r="I7" i="33"/>
  <c r="G10" i="36" s="1"/>
  <c r="K8" i="33"/>
  <c r="K7" i="33"/>
  <c r="J7" i="33"/>
  <c r="J23" i="33" s="1"/>
  <c r="F7" i="33"/>
  <c r="F8" i="33"/>
  <c r="E7" i="33"/>
  <c r="E23" i="33" s="1"/>
  <c r="I35" i="33"/>
  <c r="D35" i="33"/>
  <c r="I22" i="33"/>
  <c r="I23" i="33" s="1"/>
  <c r="D22" i="33"/>
  <c r="D23" i="33" s="1"/>
  <c r="K30" i="33"/>
  <c r="L30" i="33"/>
  <c r="J30" i="33"/>
  <c r="F30" i="33"/>
  <c r="G30" i="33"/>
  <c r="E30" i="33"/>
  <c r="G76" i="36" l="1"/>
  <c r="O30" i="33"/>
  <c r="F23" i="33"/>
  <c r="G12" i="33"/>
  <c r="L12" i="33"/>
  <c r="K23" i="33"/>
  <c r="G7" i="33" l="1"/>
  <c r="G23" i="33" s="1"/>
  <c r="G8" i="33"/>
  <c r="L8" i="33"/>
  <c r="L7" i="33"/>
  <c r="L23" i="33" s="1"/>
  <c r="B1" i="34"/>
  <c r="I3" i="35" l="1"/>
  <c r="M129" i="36"/>
  <c r="M105" i="36"/>
  <c r="M104" i="36"/>
  <c r="M101" i="36"/>
  <c r="M78" i="36"/>
  <c r="M75" i="36"/>
  <c r="K134" i="36"/>
  <c r="K120" i="36"/>
  <c r="K109" i="36"/>
  <c r="K107" i="36"/>
  <c r="K94" i="36"/>
  <c r="K83" i="36"/>
  <c r="K81" i="36"/>
  <c r="K69" i="36"/>
  <c r="K32" i="36"/>
  <c r="K30" i="36"/>
  <c r="K28" i="36"/>
  <c r="K85" i="36" s="1"/>
  <c r="K24" i="36"/>
  <c r="K13" i="36"/>
  <c r="K14" i="36"/>
  <c r="K15" i="36"/>
  <c r="K16" i="36"/>
  <c r="K12" i="36"/>
  <c r="M124" i="36"/>
  <c r="M135" i="36" s="1"/>
  <c r="M98" i="36"/>
  <c r="M110" i="36" s="1"/>
  <c r="M74" i="36"/>
  <c r="M86" i="36" s="1"/>
  <c r="M33" i="36"/>
  <c r="M31" i="36"/>
  <c r="M29" i="36"/>
  <c r="I129" i="36"/>
  <c r="I126" i="36"/>
  <c r="I105" i="36"/>
  <c r="I104" i="36"/>
  <c r="I101" i="36"/>
  <c r="I78" i="36"/>
  <c r="I75" i="36"/>
  <c r="G137" i="36"/>
  <c r="G129" i="36"/>
  <c r="G126" i="36"/>
  <c r="G118" i="36"/>
  <c r="G121" i="36" s="1"/>
  <c r="G105" i="36"/>
  <c r="G104" i="36"/>
  <c r="G102" i="36"/>
  <c r="G101" i="36"/>
  <c r="G92" i="36"/>
  <c r="G78" i="36"/>
  <c r="G75" i="36"/>
  <c r="G67" i="36"/>
  <c r="I29" i="33"/>
  <c r="G37" i="36" s="1"/>
  <c r="G21" i="36"/>
  <c r="G18" i="36"/>
  <c r="I124" i="36"/>
  <c r="I135" i="36" s="1"/>
  <c r="G124" i="36"/>
  <c r="G135" i="36" s="1"/>
  <c r="I98" i="36"/>
  <c r="I110" i="36" s="1"/>
  <c r="G98" i="36"/>
  <c r="G110" i="36" s="1"/>
  <c r="I74" i="36"/>
  <c r="I86" i="36" s="1"/>
  <c r="G74" i="36"/>
  <c r="G86" i="36" s="1"/>
  <c r="G72" i="36"/>
  <c r="G82" i="36" s="1"/>
  <c r="I33" i="36"/>
  <c r="G33" i="36"/>
  <c r="I31" i="36"/>
  <c r="G31" i="36"/>
  <c r="I29" i="36"/>
  <c r="G29" i="36"/>
  <c r="G25" i="36"/>
  <c r="G7" i="36"/>
  <c r="E129" i="36"/>
  <c r="E126" i="36"/>
  <c r="E105" i="36"/>
  <c r="E104" i="36"/>
  <c r="E101" i="36"/>
  <c r="E75" i="36"/>
  <c r="E78" i="36"/>
  <c r="E124" i="36"/>
  <c r="E135" i="36" s="1"/>
  <c r="E98" i="36"/>
  <c r="E110" i="36" s="1"/>
  <c r="E74" i="36"/>
  <c r="E33" i="36"/>
  <c r="E31" i="36"/>
  <c r="E29" i="36"/>
  <c r="C129" i="36"/>
  <c r="C126" i="36"/>
  <c r="C124" i="36"/>
  <c r="C118" i="36"/>
  <c r="C105" i="36"/>
  <c r="C104" i="36"/>
  <c r="C102" i="36"/>
  <c r="C101" i="36"/>
  <c r="C98" i="36"/>
  <c r="B100" i="36"/>
  <c r="B125" i="36" s="1"/>
  <c r="C92" i="36"/>
  <c r="C95" i="36" s="1"/>
  <c r="C78" i="36"/>
  <c r="C76" i="36"/>
  <c r="C75" i="36"/>
  <c r="C74" i="36"/>
  <c r="C72" i="36"/>
  <c r="B73" i="36"/>
  <c r="B83" i="36" s="1"/>
  <c r="B97" i="36" s="1"/>
  <c r="B107" i="36" s="1"/>
  <c r="B123" i="36" s="1"/>
  <c r="B132" i="36" s="1"/>
  <c r="B74" i="36"/>
  <c r="B72" i="36"/>
  <c r="B81" i="36" s="1"/>
  <c r="C67" i="36"/>
  <c r="C37" i="36"/>
  <c r="B35" i="36"/>
  <c r="B112" i="36" s="1"/>
  <c r="B36" i="36"/>
  <c r="B34" i="36"/>
  <c r="B111" i="36" s="1"/>
  <c r="B136" i="36" s="1"/>
  <c r="C33" i="36"/>
  <c r="B32" i="36"/>
  <c r="B98" i="36" s="1"/>
  <c r="B109" i="36" s="1"/>
  <c r="B30" i="36"/>
  <c r="C29" i="36"/>
  <c r="B28" i="36"/>
  <c r="B26" i="36"/>
  <c r="C25" i="36"/>
  <c r="B24" i="36"/>
  <c r="C22" i="36"/>
  <c r="C21" i="36"/>
  <c r="C18" i="36"/>
  <c r="C7" i="36"/>
  <c r="F103" i="35"/>
  <c r="C103" i="35" s="1"/>
  <c r="E129" i="35"/>
  <c r="E126" i="35" s="1"/>
  <c r="F127" i="35"/>
  <c r="F126" i="35" s="1"/>
  <c r="C132" i="35"/>
  <c r="C131" i="35"/>
  <c r="G134" i="35"/>
  <c r="G90" i="35"/>
  <c r="M31" i="33" s="1"/>
  <c r="D116" i="35"/>
  <c r="D115" i="35" s="1"/>
  <c r="M114" i="35"/>
  <c r="C111" i="35"/>
  <c r="M113" i="35" s="1"/>
  <c r="D110" i="35"/>
  <c r="F99" i="35"/>
  <c r="D99" i="35"/>
  <c r="H132" i="35"/>
  <c r="M36" i="36" s="1"/>
  <c r="H131" i="35"/>
  <c r="M35" i="36" s="1"/>
  <c r="M112" i="36" s="1"/>
  <c r="H129" i="35"/>
  <c r="M34" i="36" s="1"/>
  <c r="H127" i="35"/>
  <c r="I36" i="36"/>
  <c r="H87" i="35"/>
  <c r="C87" i="35"/>
  <c r="H85" i="35"/>
  <c r="I34" i="36" s="1"/>
  <c r="C85" i="35"/>
  <c r="H83" i="35"/>
  <c r="C83" i="35"/>
  <c r="H103" i="35"/>
  <c r="H100" i="35"/>
  <c r="H98" i="35"/>
  <c r="H59" i="35"/>
  <c r="H54" i="35"/>
  <c r="I52" i="35"/>
  <c r="D52" i="35"/>
  <c r="H116" i="35"/>
  <c r="H72" i="35"/>
  <c r="C72" i="35"/>
  <c r="K60" i="35"/>
  <c r="H111" i="35"/>
  <c r="H70" i="35"/>
  <c r="C70" i="35"/>
  <c r="H67" i="35"/>
  <c r="C67" i="35"/>
  <c r="M69" i="35" s="1"/>
  <c r="H66" i="35"/>
  <c r="C66" i="35"/>
  <c r="H23" i="35"/>
  <c r="H26" i="35"/>
  <c r="H31" i="35"/>
  <c r="H37" i="35"/>
  <c r="H39" i="35"/>
  <c r="H41" i="35"/>
  <c r="H45" i="35"/>
  <c r="C45" i="35"/>
  <c r="C41" i="35"/>
  <c r="C34" i="36" s="1"/>
  <c r="C39" i="35"/>
  <c r="C27" i="36" s="1"/>
  <c r="C26" i="35"/>
  <c r="C23" i="35"/>
  <c r="C22" i="35"/>
  <c r="C28" i="35"/>
  <c r="C31" i="35"/>
  <c r="C37" i="35"/>
  <c r="H16" i="35"/>
  <c r="H11" i="35"/>
  <c r="C16" i="35"/>
  <c r="D9" i="35"/>
  <c r="C9" i="35" s="1"/>
  <c r="C11" i="35"/>
  <c r="O7" i="34"/>
  <c r="M67" i="36" s="1"/>
  <c r="M21" i="36"/>
  <c r="O30" i="34"/>
  <c r="M37" i="36"/>
  <c r="M137" i="36" s="1"/>
  <c r="M18" i="36"/>
  <c r="P8" i="34"/>
  <c r="D109" i="35" l="1"/>
  <c r="D104" i="35" s="1"/>
  <c r="I35" i="36"/>
  <c r="I112" i="36" s="1"/>
  <c r="E34" i="36"/>
  <c r="C99" i="35"/>
  <c r="N30" i="34"/>
  <c r="M76" i="36"/>
  <c r="B124" i="36"/>
  <c r="B134" i="36" s="1"/>
  <c r="B113" i="36"/>
  <c r="M73" i="36"/>
  <c r="K29" i="36"/>
  <c r="H52" i="35"/>
  <c r="C52" i="35"/>
  <c r="R31" i="33"/>
  <c r="M23" i="35"/>
  <c r="M89" i="36"/>
  <c r="M100" i="36" s="1"/>
  <c r="M11" i="35"/>
  <c r="M54" i="35"/>
  <c r="K72" i="36"/>
  <c r="K104" i="36"/>
  <c r="M98" i="35"/>
  <c r="K101" i="36"/>
  <c r="K31" i="36"/>
  <c r="M16" i="35"/>
  <c r="C127" i="35"/>
  <c r="M127" i="35" s="1"/>
  <c r="D46" i="35"/>
  <c r="M26" i="35"/>
  <c r="C112" i="36"/>
  <c r="E112" i="36"/>
  <c r="E36" i="36"/>
  <c r="C73" i="36"/>
  <c r="C84" i="36" s="1"/>
  <c r="C110" i="35"/>
  <c r="M110" i="35" s="1"/>
  <c r="C114" i="35"/>
  <c r="F104" i="35"/>
  <c r="F96" i="35"/>
  <c r="K33" i="36"/>
  <c r="M59" i="35"/>
  <c r="J17" i="35"/>
  <c r="P23" i="34"/>
  <c r="K98" i="36"/>
  <c r="K124" i="36"/>
  <c r="K7" i="36"/>
  <c r="K18" i="36"/>
  <c r="K102" i="36"/>
  <c r="K105" i="36"/>
  <c r="K76" i="36"/>
  <c r="K79" i="36"/>
  <c r="K74" i="36"/>
  <c r="M131" i="35"/>
  <c r="H82" i="35"/>
  <c r="M103" i="35"/>
  <c r="M92" i="36"/>
  <c r="K21" i="36"/>
  <c r="K78" i="36"/>
  <c r="H27" i="35"/>
  <c r="K25" i="36"/>
  <c r="K10" i="36"/>
  <c r="D60" i="35"/>
  <c r="D90" i="35" s="1"/>
  <c r="J31" i="33" s="1"/>
  <c r="C116" i="35"/>
  <c r="M116" i="35" s="1"/>
  <c r="C27" i="35"/>
  <c r="M28" i="35"/>
  <c r="K75" i="36"/>
  <c r="K135" i="36"/>
  <c r="K37" i="36"/>
  <c r="C82" i="36"/>
  <c r="K82" i="36" s="1"/>
  <c r="C110" i="36"/>
  <c r="K110" i="36" s="1"/>
  <c r="K118" i="36"/>
  <c r="K129" i="36"/>
  <c r="F17" i="35"/>
  <c r="M45" i="35"/>
  <c r="M39" i="35"/>
  <c r="M111" i="35"/>
  <c r="C65" i="35"/>
  <c r="M65" i="35" s="1"/>
  <c r="M83" i="35"/>
  <c r="M85" i="35"/>
  <c r="G34" i="36"/>
  <c r="K34" i="36" s="1"/>
  <c r="M87" i="35"/>
  <c r="G35" i="36"/>
  <c r="K35" i="36" s="1"/>
  <c r="G36" i="36"/>
  <c r="K36" i="36" s="1"/>
  <c r="G112" i="36"/>
  <c r="M102" i="36"/>
  <c r="K113" i="36"/>
  <c r="C19" i="36"/>
  <c r="C116" i="36"/>
  <c r="C125" i="36" s="1"/>
  <c r="C121" i="36"/>
  <c r="C123" i="36" s="1"/>
  <c r="K67" i="36"/>
  <c r="K92" i="36"/>
  <c r="K126" i="36"/>
  <c r="M70" i="36"/>
  <c r="G116" i="36"/>
  <c r="G22" i="36"/>
  <c r="K22" i="36" s="1"/>
  <c r="G19" i="36"/>
  <c r="G70" i="36"/>
  <c r="G73" i="36"/>
  <c r="G84" i="36" s="1"/>
  <c r="G95" i="36"/>
  <c r="K95" i="36" s="1"/>
  <c r="C89" i="36"/>
  <c r="C70" i="36"/>
  <c r="M132" i="35"/>
  <c r="I60" i="35"/>
  <c r="K90" i="35"/>
  <c r="M72" i="35"/>
  <c r="J60" i="35"/>
  <c r="M55" i="35"/>
  <c r="F90" i="35"/>
  <c r="L31" i="33" s="1"/>
  <c r="M66" i="35"/>
  <c r="M67" i="35"/>
  <c r="M70" i="35"/>
  <c r="C129" i="35"/>
  <c r="M129" i="35" s="1"/>
  <c r="C82" i="35"/>
  <c r="C71" i="35"/>
  <c r="E60" i="35"/>
  <c r="E90" i="35" s="1"/>
  <c r="K31" i="33" s="1"/>
  <c r="D96" i="35"/>
  <c r="M41" i="35"/>
  <c r="M37" i="35"/>
  <c r="M22" i="35"/>
  <c r="M31" i="35"/>
  <c r="H21" i="35"/>
  <c r="H38" i="35"/>
  <c r="K46" i="35"/>
  <c r="C38" i="35"/>
  <c r="E17" i="35"/>
  <c r="C21" i="35"/>
  <c r="I36" i="34"/>
  <c r="L30" i="34"/>
  <c r="K30" i="34"/>
  <c r="I29" i="34"/>
  <c r="I37" i="36" s="1"/>
  <c r="I22" i="34"/>
  <c r="I18" i="36" s="1"/>
  <c r="I16" i="34"/>
  <c r="I7" i="34" s="1"/>
  <c r="I10" i="36" s="1"/>
  <c r="I13" i="36" s="1"/>
  <c r="I27" i="36" s="1"/>
  <c r="K8" i="34"/>
  <c r="K7" i="34"/>
  <c r="K23" i="34" s="1"/>
  <c r="J7" i="34"/>
  <c r="I67" i="36" s="1"/>
  <c r="I89" i="36" s="1"/>
  <c r="I100" i="36" s="1"/>
  <c r="F7" i="34"/>
  <c r="E7" i="34"/>
  <c r="F8" i="34"/>
  <c r="E102" i="36"/>
  <c r="G30" i="34"/>
  <c r="E76" i="36"/>
  <c r="D36" i="34"/>
  <c r="E21" i="36"/>
  <c r="D29" i="34"/>
  <c r="D22" i="34"/>
  <c r="D16" i="34"/>
  <c r="Q30" i="33"/>
  <c r="P30" i="33"/>
  <c r="N30" i="33" s="1"/>
  <c r="Q22" i="33"/>
  <c r="P22" i="33"/>
  <c r="O22" i="33"/>
  <c r="Q35" i="33"/>
  <c r="P35" i="33"/>
  <c r="O35" i="33"/>
  <c r="Q33" i="33"/>
  <c r="P33" i="33"/>
  <c r="O33" i="33"/>
  <c r="Q29" i="33"/>
  <c r="O29" i="33"/>
  <c r="Q16" i="33"/>
  <c r="P16" i="33"/>
  <c r="O16" i="33"/>
  <c r="Q12" i="33"/>
  <c r="Q8" i="33" s="1"/>
  <c r="P11" i="33"/>
  <c r="P8" i="33" s="1"/>
  <c r="C109" i="35" l="1"/>
  <c r="M116" i="36"/>
  <c r="G125" i="36"/>
  <c r="G123" i="36" s="1"/>
  <c r="G133" i="36" s="1"/>
  <c r="K125" i="36"/>
  <c r="K123" i="36"/>
  <c r="M125" i="36"/>
  <c r="H60" i="35"/>
  <c r="F46" i="35"/>
  <c r="G31" i="33" s="1"/>
  <c r="Q31" i="33" s="1"/>
  <c r="C96" i="35"/>
  <c r="I31" i="33"/>
  <c r="E31" i="33"/>
  <c r="E46" i="35"/>
  <c r="T30" i="34"/>
  <c r="U30" i="34"/>
  <c r="K84" i="36"/>
  <c r="K112" i="36"/>
  <c r="I90" i="35"/>
  <c r="J90" i="35"/>
  <c r="J46" i="35"/>
  <c r="S16" i="34"/>
  <c r="E86" i="36"/>
  <c r="C86" i="36"/>
  <c r="K86" i="36" s="1"/>
  <c r="S36" i="34"/>
  <c r="M95" i="36"/>
  <c r="M97" i="36" s="1"/>
  <c r="E67" i="36"/>
  <c r="E89" i="36" s="1"/>
  <c r="E100" i="36" s="1"/>
  <c r="T7" i="34"/>
  <c r="E37" i="36"/>
  <c r="S29" i="34"/>
  <c r="V30" i="34"/>
  <c r="U8" i="34"/>
  <c r="F23" i="34"/>
  <c r="U7" i="34"/>
  <c r="I21" i="36"/>
  <c r="S33" i="34"/>
  <c r="E18" i="36"/>
  <c r="S22" i="34"/>
  <c r="I7" i="36"/>
  <c r="C17" i="35"/>
  <c r="C46" i="35" s="1"/>
  <c r="M109" i="35"/>
  <c r="I19" i="36"/>
  <c r="M27" i="35"/>
  <c r="M52" i="35"/>
  <c r="N7" i="34"/>
  <c r="M10" i="36" s="1"/>
  <c r="N23" i="34"/>
  <c r="I23" i="34"/>
  <c r="D7" i="34"/>
  <c r="S7" i="34" s="1"/>
  <c r="D23" i="34"/>
  <c r="K87" i="36"/>
  <c r="G31" i="34"/>
  <c r="L31" i="34"/>
  <c r="K111" i="36"/>
  <c r="Q31" i="34"/>
  <c r="D134" i="35"/>
  <c r="Q7" i="33"/>
  <c r="Q23" i="33" s="1"/>
  <c r="P7" i="33"/>
  <c r="P23" i="33" s="1"/>
  <c r="N29" i="33"/>
  <c r="N16" i="33"/>
  <c r="O7" i="33"/>
  <c r="O23" i="33" s="1"/>
  <c r="E92" i="36"/>
  <c r="E95" i="36" s="1"/>
  <c r="G12" i="34"/>
  <c r="Q8" i="34"/>
  <c r="I92" i="36"/>
  <c r="I95" i="36" s="1"/>
  <c r="I97" i="36" s="1"/>
  <c r="I108" i="36" s="1"/>
  <c r="L12" i="34"/>
  <c r="E134" i="35"/>
  <c r="N35" i="33"/>
  <c r="N22" i="33"/>
  <c r="K26" i="36"/>
  <c r="K132" i="36" s="1"/>
  <c r="G27" i="36"/>
  <c r="K27" i="36" s="1"/>
  <c r="E22" i="36"/>
  <c r="I76" i="36"/>
  <c r="I22" i="36"/>
  <c r="I102" i="36"/>
  <c r="I70" i="36"/>
  <c r="K73" i="36"/>
  <c r="K121" i="36"/>
  <c r="K19" i="36"/>
  <c r="K70" i="36"/>
  <c r="C100" i="36"/>
  <c r="K116" i="36"/>
  <c r="K137" i="36"/>
  <c r="G89" i="36"/>
  <c r="G100" i="36" s="1"/>
  <c r="G97" i="36" s="1"/>
  <c r="G108" i="36" s="1"/>
  <c r="F134" i="35"/>
  <c r="C115" i="35"/>
  <c r="M115" i="35" s="1"/>
  <c r="M71" i="35"/>
  <c r="M82" i="35"/>
  <c r="C60" i="35"/>
  <c r="C126" i="35"/>
  <c r="M38" i="35"/>
  <c r="M21" i="35"/>
  <c r="H17" i="35"/>
  <c r="E70" i="36" l="1"/>
  <c r="O31" i="33"/>
  <c r="M13" i="36"/>
  <c r="M27" i="36" s="1"/>
  <c r="M19" i="36"/>
  <c r="F31" i="33"/>
  <c r="D31" i="33" s="1"/>
  <c r="K31" i="34"/>
  <c r="F31" i="34"/>
  <c r="J31" i="34"/>
  <c r="I31" i="34" s="1"/>
  <c r="U23" i="34"/>
  <c r="S23" i="34"/>
  <c r="H90" i="35"/>
  <c r="E97" i="36"/>
  <c r="E108" i="36" s="1"/>
  <c r="M108" i="36"/>
  <c r="S30" i="34"/>
  <c r="V12" i="34"/>
  <c r="V31" i="34"/>
  <c r="I72" i="36"/>
  <c r="I25" i="36"/>
  <c r="E10" i="36"/>
  <c r="E13" i="36" s="1"/>
  <c r="E27" i="36" s="1"/>
  <c r="C104" i="35"/>
  <c r="M7" i="36"/>
  <c r="M121" i="36"/>
  <c r="M123" i="36" s="1"/>
  <c r="Q23" i="34"/>
  <c r="E116" i="36"/>
  <c r="E125" i="36" s="1"/>
  <c r="N23" i="33"/>
  <c r="N7" i="33"/>
  <c r="G8" i="34"/>
  <c r="H13" i="34"/>
  <c r="I116" i="36"/>
  <c r="I125" i="36" s="1"/>
  <c r="L8" i="34"/>
  <c r="L7" i="34"/>
  <c r="M13" i="34" s="1"/>
  <c r="K89" i="36"/>
  <c r="C97" i="36"/>
  <c r="K100" i="36"/>
  <c r="K127" i="36"/>
  <c r="M60" i="35"/>
  <c r="C90" i="35"/>
  <c r="M126" i="35"/>
  <c r="M17" i="35"/>
  <c r="M7" i="34" l="1"/>
  <c r="M8" i="34"/>
  <c r="P31" i="33"/>
  <c r="U31" i="34"/>
  <c r="M133" i="36"/>
  <c r="M90" i="35"/>
  <c r="C134" i="35"/>
  <c r="M104" i="35"/>
  <c r="V7" i="34"/>
  <c r="V8" i="34"/>
  <c r="E19" i="36"/>
  <c r="I82" i="36"/>
  <c r="I73" i="36"/>
  <c r="I84" i="36" s="1"/>
  <c r="M25" i="36"/>
  <c r="E72" i="36"/>
  <c r="E25" i="36"/>
  <c r="E7" i="36"/>
  <c r="I118" i="36"/>
  <c r="I121" i="36" s="1"/>
  <c r="L23" i="34"/>
  <c r="E118" i="36"/>
  <c r="E121" i="36" s="1"/>
  <c r="G23" i="34"/>
  <c r="C108" i="36"/>
  <c r="K108" i="36" s="1"/>
  <c r="K97" i="36"/>
  <c r="C133" i="36"/>
  <c r="K133" i="36" s="1"/>
  <c r="B85" i="36"/>
  <c r="B94" i="35"/>
  <c r="C94" i="35" s="1"/>
  <c r="D94" i="35" s="1"/>
  <c r="E94" i="35" s="1"/>
  <c r="F94" i="35" s="1"/>
  <c r="G94" i="35" s="1"/>
  <c r="H94" i="35" s="1"/>
  <c r="I94" i="35" s="1"/>
  <c r="J94" i="35" s="1"/>
  <c r="K94" i="35" s="1"/>
  <c r="L94" i="35" s="1"/>
  <c r="M94" i="35" s="1"/>
  <c r="N94" i="35" s="1"/>
  <c r="O94" i="35" s="1"/>
  <c r="P94" i="35" s="1"/>
  <c r="Q94" i="35" s="1"/>
  <c r="R94" i="35" s="1"/>
  <c r="S94" i="35" s="1"/>
  <c r="T94" i="35" s="1"/>
  <c r="U94" i="35" s="1"/>
  <c r="V94" i="35" s="1"/>
  <c r="W94" i="35" s="1"/>
  <c r="B50" i="35"/>
  <c r="C50" i="35" s="1"/>
  <c r="D50" i="35" s="1"/>
  <c r="E50" i="35" s="1"/>
  <c r="F50" i="35" s="1"/>
  <c r="G50" i="35" s="1"/>
  <c r="H50" i="35" s="1"/>
  <c r="I50" i="35" s="1"/>
  <c r="J50" i="35" s="1"/>
  <c r="K50" i="35" s="1"/>
  <c r="L50" i="35" s="1"/>
  <c r="M50" i="35" s="1"/>
  <c r="N50" i="35" s="1"/>
  <c r="O50" i="35" s="1"/>
  <c r="P50" i="35" s="1"/>
  <c r="Q50" i="35" s="1"/>
  <c r="R50" i="35" s="1"/>
  <c r="S50" i="35" s="1"/>
  <c r="T50" i="35" s="1"/>
  <c r="U50" i="35" s="1"/>
  <c r="V50" i="35" s="1"/>
  <c r="W50" i="35" s="1"/>
  <c r="B7" i="35"/>
  <c r="C7" i="35" s="1"/>
  <c r="D7" i="35" s="1"/>
  <c r="E7" i="35" s="1"/>
  <c r="F7" i="35" s="1"/>
  <c r="G7" i="35" s="1"/>
  <c r="H7" i="35" s="1"/>
  <c r="I7" i="35" s="1"/>
  <c r="J7" i="35" s="1"/>
  <c r="K7" i="35" s="1"/>
  <c r="L7" i="35" s="1"/>
  <c r="M7" i="35" s="1"/>
  <c r="N7" i="35" s="1"/>
  <c r="O7" i="35" s="1"/>
  <c r="P7" i="35" s="1"/>
  <c r="Q7" i="35" s="1"/>
  <c r="R7" i="35" s="1"/>
  <c r="S7" i="35" s="1"/>
  <c r="T7" i="35" s="1"/>
  <c r="U7" i="35" s="1"/>
  <c r="V7" i="35" s="1"/>
  <c r="W7" i="35" s="1"/>
  <c r="N6" i="34"/>
  <c r="O6" i="34" s="1"/>
  <c r="P6" i="34" s="1"/>
  <c r="Q6" i="34" s="1"/>
  <c r="R6" i="34" s="1"/>
  <c r="I6" i="34"/>
  <c r="J6" i="34" s="1"/>
  <c r="K6" i="34" s="1"/>
  <c r="L6" i="34" s="1"/>
  <c r="M6" i="34" s="1"/>
  <c r="D6" i="34"/>
  <c r="E6" i="34" s="1"/>
  <c r="F6" i="34" s="1"/>
  <c r="G6" i="34" s="1"/>
  <c r="H6" i="34" s="1"/>
  <c r="N4" i="34"/>
  <c r="I4" i="34"/>
  <c r="A51" i="35" s="1"/>
  <c r="D4" i="34"/>
  <c r="A8" i="35" s="1"/>
  <c r="C5" i="36" s="1"/>
  <c r="A3" i="36"/>
  <c r="N6" i="33"/>
  <c r="O6" i="33" s="1"/>
  <c r="P6" i="33" s="1"/>
  <c r="Q6" i="33" s="1"/>
  <c r="R6" i="33" s="1"/>
  <c r="I6" i="33"/>
  <c r="J6" i="33" s="1"/>
  <c r="K6" i="33" s="1"/>
  <c r="L6" i="33" s="1"/>
  <c r="M6" i="33" s="1"/>
  <c r="D6" i="33"/>
  <c r="E6" i="33" s="1"/>
  <c r="F6" i="33" s="1"/>
  <c r="G6" i="33" s="1"/>
  <c r="H6" i="33" s="1"/>
  <c r="E123" i="36" l="1"/>
  <c r="I123" i="36"/>
  <c r="N31" i="33"/>
  <c r="V23" i="34"/>
  <c r="E82" i="36"/>
  <c r="E73" i="36"/>
  <c r="E84" i="36" s="1"/>
  <c r="M82" i="36"/>
  <c r="M84" i="36"/>
  <c r="I133" i="36"/>
  <c r="E133" i="36"/>
  <c r="G5" i="36"/>
  <c r="K5" i="36"/>
  <c r="A95" i="35"/>
  <c r="D28" i="33"/>
  <c r="I28" i="33"/>
  <c r="N28" i="33"/>
  <c r="D27" i="33"/>
  <c r="E26" i="33"/>
  <c r="I27" i="33"/>
  <c r="I26" i="33"/>
  <c r="D26" i="33" l="1"/>
  <c r="O26" i="33"/>
  <c r="N26" i="33" s="1"/>
  <c r="N27" i="33"/>
  <c r="I27" i="34"/>
  <c r="J26" i="34"/>
  <c r="I26" i="34" s="1"/>
  <c r="T27" i="34"/>
  <c r="D27" i="34"/>
  <c r="E26" i="34"/>
  <c r="T26" i="34" l="1"/>
  <c r="S27" i="34"/>
  <c r="D26" i="34"/>
  <c r="S26" i="34" l="1"/>
  <c r="I9" i="35"/>
  <c r="H12" i="35"/>
  <c r="M12" i="35" s="1"/>
  <c r="I99" i="35"/>
  <c r="I96" i="35" s="1"/>
  <c r="I134" i="35" l="1"/>
  <c r="H99" i="35"/>
  <c r="M99" i="35" s="1"/>
  <c r="I46" i="35"/>
  <c r="H9" i="35"/>
  <c r="O31" i="34" l="1"/>
  <c r="N31" i="34" s="1"/>
  <c r="E31" i="34"/>
  <c r="D31" i="34" s="1"/>
  <c r="H46" i="35"/>
  <c r="M46" i="35" s="1"/>
  <c r="M9" i="35"/>
  <c r="M96" i="35"/>
  <c r="H134" i="35"/>
  <c r="M134" i="35" s="1"/>
  <c r="T31" i="34" l="1"/>
  <c r="S31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Осокина</author>
    <author>Osokina</author>
  </authors>
  <commentList>
    <comment ref="M13" authorId="0" shapeId="0" xr:uid="{F4676E7A-5A05-44C6-9FB4-3EEA9583A036}">
      <text>
        <r>
          <rPr>
            <b/>
            <sz val="9"/>
            <color indexed="81"/>
            <rFont val="Tahoma"/>
            <family val="2"/>
            <charset val="204"/>
          </rPr>
          <t>Осокина: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2" authorId="0" shapeId="0" xr:uid="{623F45AA-9CC5-4501-8E0E-4E5EAC103CD0}">
      <text>
        <r>
          <rPr>
            <b/>
            <sz val="9"/>
            <color indexed="81"/>
            <rFont val="Tahoma"/>
            <family val="2"/>
            <charset val="204"/>
          </rPr>
          <t>Осокина: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9" authorId="0" shapeId="0" xr:uid="{F063FFE0-0FC8-4C88-B5A7-CBE770AC69BE}">
      <text>
        <r>
          <rPr>
            <b/>
            <sz val="9"/>
            <color indexed="81"/>
            <rFont val="Tahoma"/>
            <family val="2"/>
            <charset val="204"/>
          </rPr>
          <t>Осокина: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7" authorId="0" shapeId="0" xr:uid="{EDAC0165-8F03-4795-8281-A9783782515D}">
      <text>
        <r>
          <rPr>
            <b/>
            <sz val="9"/>
            <color indexed="81"/>
            <rFont val="Tahoma"/>
            <family val="2"/>
            <charset val="204"/>
          </rPr>
          <t>Осокина: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18" authorId="1" shapeId="0" xr:uid="{C7DA8304-2047-4413-A04F-C82DD8E814C2}">
      <text>
        <r>
          <rPr>
            <b/>
            <sz val="9"/>
            <color indexed="81"/>
            <rFont val="Tahoma"/>
            <family val="2"/>
            <charset val="204"/>
          </rPr>
          <t>Osokina: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26" authorId="1" shapeId="0" xr:uid="{43000FA0-EE01-4C59-9FB0-D583821FFD6C}">
      <text>
        <r>
          <rPr>
            <b/>
            <sz val="9"/>
            <color indexed="81"/>
            <rFont val="Tahoma"/>
            <family val="2"/>
            <charset val="204"/>
          </rPr>
          <t>Osokina: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<sst xmlns="http://schemas.openxmlformats.org/spreadsheetml/2006/main" count="688" uniqueCount="302">
  <si>
    <t>Всего</t>
  </si>
  <si>
    <t>%</t>
  </si>
  <si>
    <t>1.1.</t>
  </si>
  <si>
    <t>1.2.</t>
  </si>
  <si>
    <t>1.3.</t>
  </si>
  <si>
    <t>1.4.</t>
  </si>
  <si>
    <t>ВН</t>
  </si>
  <si>
    <t>СН1</t>
  </si>
  <si>
    <t>СН2</t>
  </si>
  <si>
    <t>НН</t>
  </si>
  <si>
    <t>4.1.</t>
  </si>
  <si>
    <t>4.2.</t>
  </si>
  <si>
    <t>Наименование показателя</t>
  </si>
  <si>
    <t>от других поставщиков</t>
  </si>
  <si>
    <t>Группа потребителей</t>
  </si>
  <si>
    <t>1.</t>
  </si>
  <si>
    <t>Население</t>
  </si>
  <si>
    <t>Население с 0,7</t>
  </si>
  <si>
    <t>Население без 0,7</t>
  </si>
  <si>
    <t>2.</t>
  </si>
  <si>
    <t>Прочие потребители</t>
  </si>
  <si>
    <t>3.</t>
  </si>
  <si>
    <t>4.</t>
  </si>
  <si>
    <t>2</t>
  </si>
  <si>
    <t>14</t>
  </si>
  <si>
    <t>1.1</t>
  </si>
  <si>
    <t>1.2</t>
  </si>
  <si>
    <t>4.3.</t>
  </si>
  <si>
    <t>Баланс электрической энергии по сетям ВН, СН1, СН2, и НН</t>
  </si>
  <si>
    <t>№ п.п.</t>
  </si>
  <si>
    <t>Показатели</t>
  </si>
  <si>
    <t>Ед. измер</t>
  </si>
  <si>
    <t xml:space="preserve">Поступление эл.энергии в сеть , ВСЕГО </t>
  </si>
  <si>
    <t>тыс.кВтч</t>
  </si>
  <si>
    <t>из смежной сети, всего</t>
  </si>
  <si>
    <t xml:space="preserve">    в том числе из сети</t>
  </si>
  <si>
    <t>МСК</t>
  </si>
  <si>
    <t>млн.кВтч</t>
  </si>
  <si>
    <t xml:space="preserve">от электростанций ПЭ (ЭСО) </t>
  </si>
  <si>
    <t xml:space="preserve">от других поставщиков </t>
  </si>
  <si>
    <t>Потери электроэнергии в сети всего</t>
  </si>
  <si>
    <t>то же в % (п.1.1/п.1.3)</t>
  </si>
  <si>
    <t>2.1</t>
  </si>
  <si>
    <t>в т.ч.от пропуска для собственных нужд, в т.ч.</t>
  </si>
  <si>
    <t>2.1.1</t>
  </si>
  <si>
    <t>покупка у сбытовой компании 1 (наименование сбытовой организации)</t>
  </si>
  <si>
    <t>2.2</t>
  </si>
  <si>
    <t>в т.ч от пропуска сторонним потребителям</t>
  </si>
  <si>
    <t>2.2.1</t>
  </si>
  <si>
    <t xml:space="preserve">Расход электроэнергии на произв и хоз.нужды </t>
  </si>
  <si>
    <t xml:space="preserve">Полезный отпуск из сети </t>
  </si>
  <si>
    <t>всего потребителям (согласно п.1.6)</t>
  </si>
  <si>
    <t>из них:</t>
  </si>
  <si>
    <t>потребителям, присоединенным к центру питания(подстанции)</t>
  </si>
  <si>
    <t>потребителям, присоединенным к центру питания(генераторное напряжение)</t>
  </si>
  <si>
    <t>сальдо переток в смежные сетевые организации</t>
  </si>
  <si>
    <t>сальдо переток в сопредельные регионы</t>
  </si>
  <si>
    <t xml:space="preserve">Поступление мощности в сеть , ВСЕГО </t>
  </si>
  <si>
    <t>МВТ</t>
  </si>
  <si>
    <t xml:space="preserve">от электростанций </t>
  </si>
  <si>
    <t xml:space="preserve">от других сетевых организаций </t>
  </si>
  <si>
    <t xml:space="preserve">Потери в сети </t>
  </si>
  <si>
    <t xml:space="preserve">то же в % </t>
  </si>
  <si>
    <r>
      <t>Мощность</t>
    </r>
    <r>
      <rPr>
        <sz val="11"/>
        <rFont val="Times New Roman"/>
        <family val="1"/>
        <charset val="204"/>
      </rPr>
      <t xml:space="preserve"> на производственные и хоз.нужды </t>
    </r>
  </si>
  <si>
    <t xml:space="preserve">Полезный отпуск мощности потребителям </t>
  </si>
  <si>
    <t>потребителям, присоединенным к центру питания</t>
  </si>
  <si>
    <t>потребителям присоединенным к сетям МСК (последняя миля)</t>
  </si>
  <si>
    <t>на генераторном напряжении</t>
  </si>
  <si>
    <t>Таблица № П1.6.</t>
  </si>
  <si>
    <t>Структура полезного отпуска электрической энергии (мощности) по группам потребителей ЭСО</t>
  </si>
  <si>
    <t>№</t>
  </si>
  <si>
    <t>Объем полезного отпуска электроэнергии, млн.кВтч.</t>
  </si>
  <si>
    <t xml:space="preserve">Заявленная (расчетная) мощность, МВт. </t>
  </si>
  <si>
    <t>Число часов использования, час</t>
  </si>
  <si>
    <t>Количество точек поставки, шт</t>
  </si>
  <si>
    <t xml:space="preserve">Доля потребления на разных диапазонах напряжений, % </t>
  </si>
  <si>
    <t xml:space="preserve">Всего </t>
  </si>
  <si>
    <t>СН11</t>
  </si>
  <si>
    <t>1.1.1</t>
  </si>
  <si>
    <t xml:space="preserve">    городское с электроплитами</t>
  </si>
  <si>
    <t>1.1.2</t>
  </si>
  <si>
    <t xml:space="preserve">    сельское</t>
  </si>
  <si>
    <t>1.1.3</t>
  </si>
  <si>
    <t xml:space="preserve">    садоводческие</t>
  </si>
  <si>
    <t>1.2.1</t>
  </si>
  <si>
    <t>1.2.2</t>
  </si>
  <si>
    <t xml:space="preserve">    приравненные к населению</t>
  </si>
  <si>
    <t>Базовые потребители</t>
  </si>
  <si>
    <t>Потребитель 1</t>
  </si>
  <si>
    <t>Потребитель 2</t>
  </si>
  <si>
    <t>Потребитель i</t>
  </si>
  <si>
    <t>Одноставочные потребители</t>
  </si>
  <si>
    <t>2.3</t>
  </si>
  <si>
    <t>Двухставочные потребители</t>
  </si>
  <si>
    <t>3</t>
  </si>
  <si>
    <t>Отдача в смежные сетевые организации</t>
  </si>
  <si>
    <t>4</t>
  </si>
  <si>
    <t xml:space="preserve">Итого </t>
  </si>
  <si>
    <t xml:space="preserve">                                                          </t>
  </si>
  <si>
    <t>Таблица N П1.30</t>
  </si>
  <si>
    <t>№ П/П</t>
  </si>
  <si>
    <t>Отпуск ЭЭ, тыс. кВт.ч</t>
  </si>
  <si>
    <t>Присоединенная мощность,                                              МВА</t>
  </si>
  <si>
    <t xml:space="preserve">Поступление электроэнергии  в сеть - всего </t>
  </si>
  <si>
    <t xml:space="preserve">в т.ч. из </t>
  </si>
  <si>
    <t xml:space="preserve">не сетевых организаций </t>
  </si>
  <si>
    <t xml:space="preserve">сетевых организаций </t>
  </si>
  <si>
    <t xml:space="preserve">в т.ч. из      </t>
  </si>
  <si>
    <t xml:space="preserve">сетевой организации 1   </t>
  </si>
  <si>
    <t xml:space="preserve">сетевой организации 2 </t>
  </si>
  <si>
    <t>1.2.3</t>
  </si>
  <si>
    <t xml:space="preserve">...       </t>
  </si>
  <si>
    <t>Потери электроэнергии - всего</t>
  </si>
  <si>
    <t xml:space="preserve">Отпуск (передача) электроэнергии сетевыми предприятиями - всего     </t>
  </si>
  <si>
    <t xml:space="preserve">в т.ч. </t>
  </si>
  <si>
    <t>3.1</t>
  </si>
  <si>
    <t xml:space="preserve">не сетевым организациям  </t>
  </si>
  <si>
    <t>3.2</t>
  </si>
  <si>
    <t>сетевым организациям</t>
  </si>
  <si>
    <t xml:space="preserve">в т.ч.    </t>
  </si>
  <si>
    <t>3.2.1</t>
  </si>
  <si>
    <t>3.2.1.1</t>
  </si>
  <si>
    <t xml:space="preserve">также в сальдированном выражении (п. 3.2.1 - п. 1.2.1) </t>
  </si>
  <si>
    <t>3.2.2</t>
  </si>
  <si>
    <t>3.2.2.1</t>
  </si>
  <si>
    <t xml:space="preserve">также в сальдированном выражении (п. 3.2.2 - п. 1.2.2) </t>
  </si>
  <si>
    <t>3.2.3</t>
  </si>
  <si>
    <t>Поступление электроэнергии в ЕНЭС</t>
  </si>
  <si>
    <t>4.1</t>
  </si>
  <si>
    <t>4.2</t>
  </si>
  <si>
    <t>4.2.1</t>
  </si>
  <si>
    <t>4.2.2</t>
  </si>
  <si>
    <t>……</t>
  </si>
  <si>
    <t>5</t>
  </si>
  <si>
    <t>Потери электроэнергии</t>
  </si>
  <si>
    <t>6</t>
  </si>
  <si>
    <t xml:space="preserve">Отпуск (передача) электроэнергии    </t>
  </si>
  <si>
    <t>6.1</t>
  </si>
  <si>
    <t>6.2</t>
  </si>
  <si>
    <t>6.2.1</t>
  </si>
  <si>
    <t>6.2.1.1</t>
  </si>
  <si>
    <t xml:space="preserve">также в сальдированном выражении (п. 6.2.1 - п. 4.2.1) </t>
  </si>
  <si>
    <t>6.2.2</t>
  </si>
  <si>
    <t>6.2.2.1</t>
  </si>
  <si>
    <t>7</t>
  </si>
  <si>
    <t xml:space="preserve">Трансформировано из сети ЕНС в </t>
  </si>
  <si>
    <t>8</t>
  </si>
  <si>
    <t>- ВН</t>
  </si>
  <si>
    <t>9</t>
  </si>
  <si>
    <t>- CН 1</t>
  </si>
  <si>
    <t>10</t>
  </si>
  <si>
    <t>- CН 2</t>
  </si>
  <si>
    <t>11</t>
  </si>
  <si>
    <t xml:space="preserve">- НН </t>
  </si>
  <si>
    <t>12</t>
  </si>
  <si>
    <t>Поступление электроэнергии  в сеть ВН 110 кВ</t>
  </si>
  <si>
    <t>12.1</t>
  </si>
  <si>
    <t>не сетевых организаций (генерация)</t>
  </si>
  <si>
    <t>12.2</t>
  </si>
  <si>
    <t>12.2.1</t>
  </si>
  <si>
    <t>12.2.2</t>
  </si>
  <si>
    <t>12.2.3</t>
  </si>
  <si>
    <t>13</t>
  </si>
  <si>
    <t>14.1</t>
  </si>
  <si>
    <t>14.2</t>
  </si>
  <si>
    <t>14.2.1</t>
  </si>
  <si>
    <t>14.2.1.1</t>
  </si>
  <si>
    <t xml:space="preserve">также в сальдированном выражении (п. 14.2.1 - п. 12.2.1) </t>
  </si>
  <si>
    <t>14.2.2</t>
  </si>
  <si>
    <t>14.2.2.1</t>
  </si>
  <si>
    <t xml:space="preserve">также в сальдированном выражении (п. 14.2.2 - п. 12.2.2) </t>
  </si>
  <si>
    <t>14.2.3</t>
  </si>
  <si>
    <t>14.2.3.1</t>
  </si>
  <si>
    <t xml:space="preserve">также в сальдированном выражении (п. 14.2.3 - п. 12.2.3) </t>
  </si>
  <si>
    <t>15</t>
  </si>
  <si>
    <t xml:space="preserve">Трансформировано из сети 110 кВ в </t>
  </si>
  <si>
    <t>16</t>
  </si>
  <si>
    <t>17</t>
  </si>
  <si>
    <t>18</t>
  </si>
  <si>
    <t>19</t>
  </si>
  <si>
    <t>Поступление электроэнергии  в сеть СН 1</t>
  </si>
  <si>
    <t>19.1</t>
  </si>
  <si>
    <t>19.2</t>
  </si>
  <si>
    <t>19.2.1</t>
  </si>
  <si>
    <t>19.2.2</t>
  </si>
  <si>
    <t>19.2.3</t>
  </si>
  <si>
    <t>20</t>
  </si>
  <si>
    <t>21</t>
  </si>
  <si>
    <t>21.2</t>
  </si>
  <si>
    <t>22</t>
  </si>
  <si>
    <t xml:space="preserve">Трансформировано из сети 35 кВ в </t>
  </si>
  <si>
    <t>23</t>
  </si>
  <si>
    <t>24</t>
  </si>
  <si>
    <t>25</t>
  </si>
  <si>
    <t>Поступление электроэнергии  в сеть СН 2</t>
  </si>
  <si>
    <t>25.1</t>
  </si>
  <si>
    <t>25.2</t>
  </si>
  <si>
    <t>25.2.1</t>
  </si>
  <si>
    <t>25.2.2</t>
  </si>
  <si>
    <t>25.2.3</t>
  </si>
  <si>
    <t>26</t>
  </si>
  <si>
    <t>27</t>
  </si>
  <si>
    <t>27.1</t>
  </si>
  <si>
    <t>27.2</t>
  </si>
  <si>
    <t>27.2.1</t>
  </si>
  <si>
    <t>27.2.1.1</t>
  </si>
  <si>
    <t>27.2.2</t>
  </si>
  <si>
    <t>27.2.2.1</t>
  </si>
  <si>
    <t>27.2.3</t>
  </si>
  <si>
    <t>28</t>
  </si>
  <si>
    <t xml:space="preserve">Трансформировано из сети 10 - 6 кВ в </t>
  </si>
  <si>
    <t>29</t>
  </si>
  <si>
    <t>30</t>
  </si>
  <si>
    <t>Поступление электроэнергии  в сеть НН</t>
  </si>
  <si>
    <t>30.1</t>
  </si>
  <si>
    <t>30.2</t>
  </si>
  <si>
    <t>30.2.1</t>
  </si>
  <si>
    <t>30.2.2</t>
  </si>
  <si>
    <t>31</t>
  </si>
  <si>
    <t>32</t>
  </si>
  <si>
    <t>32.1</t>
  </si>
  <si>
    <t>32.2</t>
  </si>
  <si>
    <t>32.2.1</t>
  </si>
  <si>
    <t>32.2.1.1</t>
  </si>
  <si>
    <t xml:space="preserve">также в сальдированном выражении (п. 27.2.1 - п. 25.2.1) </t>
  </si>
  <si>
    <t>32.2.2</t>
  </si>
  <si>
    <t>32.2.2.1</t>
  </si>
  <si>
    <t xml:space="preserve">также в сальдированном выражении (п. 27.2.2 - п. 25.2.2) </t>
  </si>
  <si>
    <t>Баланс электрической мощности по уровням напряжения</t>
  </si>
  <si>
    <t>покупка у сбытовой компании ОАО "Кузбассэнергосбыт"</t>
  </si>
  <si>
    <t>ООО "ЭСКК" (АО "Черниговец")</t>
  </si>
  <si>
    <t>ООО "Металлэнергофинанс" (ОАО "Шахта Алардинская")</t>
  </si>
  <si>
    <t>ООО "Лукойл-Энергосервис"( ООО "Разрез Пермяковский")</t>
  </si>
  <si>
    <t>ООО "ГлавЭнергоСбыт"( ООО "СУЭК-Кузбасс")</t>
  </si>
  <si>
    <t>ООО "СКЭК"</t>
  </si>
  <si>
    <t>1.2.4</t>
  </si>
  <si>
    <t>1.2.5</t>
  </si>
  <si>
    <t>ОАО "РЖД"</t>
  </si>
  <si>
    <t>3.2.3.1</t>
  </si>
  <si>
    <t>3.2.4</t>
  </si>
  <si>
    <t>3.2.5</t>
  </si>
  <si>
    <t>3.2.6</t>
  </si>
  <si>
    <t>3.2.7</t>
  </si>
  <si>
    <t>3.2.4.1</t>
  </si>
  <si>
    <t>3.2.5.1</t>
  </si>
  <si>
    <t xml:space="preserve">также в сальдированном выражении (п. 3.2.3 - п. 1.2.3) </t>
  </si>
  <si>
    <t xml:space="preserve">также в сальдированном выражении (п. 3.2.4 - п. 1.2.4) </t>
  </si>
  <si>
    <t>3.2.8</t>
  </si>
  <si>
    <t>14.2.4</t>
  </si>
  <si>
    <t>Таблица П 1.5</t>
  </si>
  <si>
    <t>Таблица П1.4</t>
  </si>
  <si>
    <t>3.2.11</t>
  </si>
  <si>
    <t>ООО "КЭнК"</t>
  </si>
  <si>
    <t>АО "Электросеть"</t>
  </si>
  <si>
    <t>АО "УК "Кузбассразрезуголь"</t>
  </si>
  <si>
    <t>ПАО "Кузбассэнергосбыт"</t>
  </si>
  <si>
    <t>Заявленная мощность, МВт</t>
  </si>
  <si>
    <t>Расчетная мощность,                                              МВт</t>
  </si>
  <si>
    <t>АО "ЭнергоПаритет"</t>
  </si>
  <si>
    <t>1.4.1.</t>
  </si>
  <si>
    <t>1.4.2.</t>
  </si>
  <si>
    <t>1.4.3.</t>
  </si>
  <si>
    <t>1.4.4.</t>
  </si>
  <si>
    <t>1.4.5.</t>
  </si>
  <si>
    <t>ООО "ЭнергоПаритет"</t>
  </si>
  <si>
    <t xml:space="preserve">поступление эл. энергии от других сетевых организаций, в т.ч. </t>
  </si>
  <si>
    <t>ЗАО "ЭПК"</t>
  </si>
  <si>
    <t>Потребители ПАО "Кузбассэнергосбыт"</t>
  </si>
  <si>
    <t>АО "Система"</t>
  </si>
  <si>
    <t>27.2.4</t>
  </si>
  <si>
    <t>ПАО "Россети Сибирь"-"Кузбассэнерго-РЭС"</t>
  </si>
  <si>
    <t>2.2.2</t>
  </si>
  <si>
    <t>покупка у сбытовой компании АО "Энергопромышленная компания"</t>
  </si>
  <si>
    <t>ОАО "Шахта Алексиевская"</t>
  </si>
  <si>
    <t>АО "Шахта Алексиевская"</t>
  </si>
  <si>
    <t>ПАО "Россети Сибирь"- "Кузбассэнерго-РЭС"</t>
  </si>
  <si>
    <t>АО "ЭПК"</t>
  </si>
  <si>
    <t>Факт 1 полугодие 2024г.</t>
  </si>
  <si>
    <t>Факт 2 полугодие 2024г.</t>
  </si>
  <si>
    <t>ФАКТ 2024 год</t>
  </si>
  <si>
    <t>ПАО "Россети"</t>
  </si>
  <si>
    <t>ООО Промэнергосбыт</t>
  </si>
  <si>
    <t>ООО МЕЧЕЛ- Энерго</t>
  </si>
  <si>
    <t>ООО ЭнергоПаритет</t>
  </si>
  <si>
    <t>Потребитель1</t>
  </si>
  <si>
    <t>АО "КузбассЭлектро"</t>
  </si>
  <si>
    <t>19.2.4</t>
  </si>
  <si>
    <t>21.1</t>
  </si>
  <si>
    <t>21.2.1</t>
  </si>
  <si>
    <t>21.2.1.1</t>
  </si>
  <si>
    <t>21.2.2</t>
  </si>
  <si>
    <t>21.2.2.1</t>
  </si>
  <si>
    <t>21.2.3.</t>
  </si>
  <si>
    <t>21.2.4</t>
  </si>
  <si>
    <t>21.2.5</t>
  </si>
  <si>
    <t>21.2.5.1</t>
  </si>
  <si>
    <t xml:space="preserve">также в сальдированном выражении (п. 21.2.1 - п. 19.2.1) </t>
  </si>
  <si>
    <t xml:space="preserve">также в сальдированном выражении (п. 21.2.2 - п. 19.2.2) </t>
  </si>
  <si>
    <t xml:space="preserve">также в сальдированном выражении (п. 21.2.5 - п. 19.2.3) </t>
  </si>
  <si>
    <t xml:space="preserve">также в сальдированном выражении (п. 25.2.1 - п. 27.2.1) </t>
  </si>
  <si>
    <t xml:space="preserve">также в сальдированном выражении (п. 25.2.2 - п. 27.2.2) </t>
  </si>
  <si>
    <t>Отпуск (передача) электроэнергии территориальной сетевой организацией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</si>
</sst>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00"/>
    <numFmt numFmtId="169" formatCode="#,##0.000000"/>
    <numFmt numFmtId="170" formatCode="0.0"/>
    <numFmt numFmtId="171" formatCode="_-* #,##0_$_-;\-* #,##0_$_-;_-* &quot;-&quot;_$_-;_-@_-"/>
    <numFmt numFmtId="172" formatCode="_-* #,##0.00_$_-;\-* #,##0.00_$_-;_-* &quot;-&quot;??_$_-;_-@_-"/>
    <numFmt numFmtId="173" formatCode="&quot;$&quot;#,##0_);[Red]\(&quot;$&quot;#,##0\)"/>
    <numFmt numFmtId="174" formatCode="_-* #,##0.00&quot;$&quot;_-;\-* #,##0.00&quot;$&quot;_-;_-* &quot;-&quot;??&quot;$&quot;_-;_-@_-"/>
    <numFmt numFmtId="175" formatCode="General_)"/>
    <numFmt numFmtId="176" formatCode="_([$€-2]* #,##0.00_);_([$€-2]* \(#,##0.00\);_([$€-2]* &quot;-&quot;??_)"/>
    <numFmt numFmtId="177" formatCode="_-* #,##0.00\ _₽_-;\-* #,##0.00\ _₽_-;_-* &quot;-&quot;??\ _₽_-;_-@_-"/>
    <numFmt numFmtId="178" formatCode="_-* #,##0.00\ _р_у_б_._-;\-* #,##0.00\ _р_у_б_._-;_-* &quot;-&quot;??\ _р_у_б_._-;_-@_-"/>
    <numFmt numFmtId="179" formatCode="0.00000"/>
  </numFmts>
  <fonts count="8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35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</borders>
  <cellStyleXfs count="392">
    <xf numFmtId="0" fontId="0" fillId="0" borderId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10" fillId="0" borderId="27" applyBorder="0">
      <alignment horizontal="center" vertical="center" wrapText="1"/>
    </xf>
    <xf numFmtId="4" fontId="11" fillId="3" borderId="1" applyBorder="0">
      <alignment horizontal="right"/>
    </xf>
    <xf numFmtId="4" fontId="11" fillId="4" borderId="4" applyBorder="0">
      <alignment horizontal="right"/>
    </xf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7" fillId="0" borderId="38">
      <protection locked="0"/>
    </xf>
    <xf numFmtId="165" fontId="17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6" borderId="0" applyNumberFormat="0" applyBorder="0" applyAlignment="0" applyProtection="0"/>
    <xf numFmtId="0" fontId="20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8" borderId="0" applyNumberFormat="0" applyBorder="0" applyAlignment="0" applyProtection="0"/>
    <xf numFmtId="0" fontId="20" fillId="1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8" borderId="0" applyNumberFormat="0" applyBorder="0" applyAlignment="0" applyProtection="0"/>
    <xf numFmtId="0" fontId="20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20" fillId="1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6" borderId="0" applyNumberFormat="0" applyBorder="0" applyAlignment="0" applyProtection="0"/>
    <xf numFmtId="0" fontId="20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0" borderId="0" applyNumberFormat="0" applyBorder="0" applyAlignment="0" applyProtection="0"/>
    <xf numFmtId="0" fontId="20" fillId="2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1" fillId="21" borderId="0" applyNumberFormat="0" applyBorder="0" applyAlignment="0" applyProtection="0"/>
    <xf numFmtId="0" fontId="21" fillId="8" borderId="0" applyNumberFormat="0" applyBorder="0" applyAlignment="0" applyProtection="0"/>
    <xf numFmtId="0" fontId="22" fillId="17" borderId="0" applyNumberFormat="0" applyBorder="0" applyAlignment="0" applyProtection="0"/>
    <xf numFmtId="0" fontId="21" fillId="8" borderId="0" applyNumberFormat="0" applyBorder="0" applyAlignment="0" applyProtection="0"/>
    <xf numFmtId="0" fontId="21" fillId="18" borderId="0" applyNumberFormat="0" applyBorder="0" applyAlignment="0" applyProtection="0"/>
    <xf numFmtId="0" fontId="22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2" fillId="13" borderId="0" applyNumberFormat="0" applyBorder="0" applyAlignment="0" applyProtection="0"/>
    <xf numFmtId="0" fontId="21" fillId="24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0" applyNumberFormat="0" applyBorder="0" applyAlignment="0" applyProtection="0"/>
    <xf numFmtId="0" fontId="21" fillId="6" borderId="0" applyNumberFormat="0" applyBorder="0" applyAlignment="0" applyProtection="0"/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5" fillId="0" borderId="0"/>
    <xf numFmtId="0" fontId="16" fillId="0" borderId="0"/>
    <xf numFmtId="0" fontId="26" fillId="0" borderId="0"/>
    <xf numFmtId="0" fontId="27" fillId="0" borderId="0"/>
    <xf numFmtId="0" fontId="28" fillId="0" borderId="0"/>
    <xf numFmtId="0" fontId="29" fillId="0" borderId="0" applyNumberFormat="0">
      <alignment horizontal="left"/>
    </xf>
    <xf numFmtId="4" fontId="30" fillId="3" borderId="39" applyNumberFormat="0" applyProtection="0">
      <alignment vertical="center"/>
    </xf>
    <xf numFmtId="4" fontId="31" fillId="3" borderId="39" applyNumberFormat="0" applyProtection="0">
      <alignment vertical="center"/>
    </xf>
    <xf numFmtId="4" fontId="30" fillId="3" borderId="39" applyNumberFormat="0" applyProtection="0">
      <alignment horizontal="left" vertical="center" indent="1"/>
    </xf>
    <xf numFmtId="4" fontId="30" fillId="3" borderId="39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4" fontId="30" fillId="26" borderId="39" applyNumberFormat="0" applyProtection="0">
      <alignment horizontal="right" vertical="center"/>
    </xf>
    <xf numFmtId="4" fontId="30" fillId="27" borderId="39" applyNumberFormat="0" applyProtection="0">
      <alignment horizontal="right" vertical="center"/>
    </xf>
    <xf numFmtId="4" fontId="30" fillId="28" borderId="39" applyNumberFormat="0" applyProtection="0">
      <alignment horizontal="right" vertical="center"/>
    </xf>
    <xf numFmtId="4" fontId="30" fillId="29" borderId="39" applyNumberFormat="0" applyProtection="0">
      <alignment horizontal="right" vertical="center"/>
    </xf>
    <xf numFmtId="4" fontId="30" fillId="30" borderId="39" applyNumberFormat="0" applyProtection="0">
      <alignment horizontal="right" vertical="center"/>
    </xf>
    <xf numFmtId="4" fontId="30" fillId="31" borderId="39" applyNumberFormat="0" applyProtection="0">
      <alignment horizontal="right" vertical="center"/>
    </xf>
    <xf numFmtId="4" fontId="30" fillId="32" borderId="39" applyNumberFormat="0" applyProtection="0">
      <alignment horizontal="right" vertical="center"/>
    </xf>
    <xf numFmtId="4" fontId="30" fillId="33" borderId="39" applyNumberFormat="0" applyProtection="0">
      <alignment horizontal="right" vertical="center"/>
    </xf>
    <xf numFmtId="4" fontId="30" fillId="34" borderId="39" applyNumberFormat="0" applyProtection="0">
      <alignment horizontal="right" vertical="center"/>
    </xf>
    <xf numFmtId="4" fontId="32" fillId="35" borderId="39" applyNumberFormat="0" applyProtection="0">
      <alignment horizontal="left" vertical="center" indent="1"/>
    </xf>
    <xf numFmtId="4" fontId="30" fillId="36" borderId="40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4" fontId="34" fillId="36" borderId="39" applyNumberFormat="0" applyProtection="0">
      <alignment horizontal="left" vertical="center" indent="1"/>
    </xf>
    <xf numFmtId="4" fontId="34" fillId="38" borderId="39" applyNumberFormat="0" applyProtection="0">
      <alignment horizontal="left" vertical="center" indent="1"/>
    </xf>
    <xf numFmtId="0" fontId="23" fillId="38" borderId="39" applyNumberFormat="0" applyProtection="0">
      <alignment horizontal="left" vertical="center" indent="1"/>
    </xf>
    <xf numFmtId="0" fontId="23" fillId="38" borderId="39" applyNumberFormat="0" applyProtection="0">
      <alignment horizontal="left" vertical="center" indent="1"/>
    </xf>
    <xf numFmtId="0" fontId="23" fillId="39" borderId="39" applyNumberFormat="0" applyProtection="0">
      <alignment horizontal="left" vertical="center" indent="1"/>
    </xf>
    <xf numFmtId="0" fontId="23" fillId="39" borderId="39" applyNumberFormat="0" applyProtection="0">
      <alignment horizontal="left" vertical="center" indent="1"/>
    </xf>
    <xf numFmtId="0" fontId="23" fillId="40" borderId="39" applyNumberFormat="0" applyProtection="0">
      <alignment horizontal="left" vertical="center" indent="1"/>
    </xf>
    <xf numFmtId="0" fontId="23" fillId="40" borderId="39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4" fontId="30" fillId="41" borderId="39" applyNumberFormat="0" applyProtection="0">
      <alignment vertical="center"/>
    </xf>
    <xf numFmtId="4" fontId="31" fillId="41" borderId="39" applyNumberFormat="0" applyProtection="0">
      <alignment vertical="center"/>
    </xf>
    <xf numFmtId="4" fontId="30" fillId="41" borderId="39" applyNumberFormat="0" applyProtection="0">
      <alignment horizontal="left" vertical="center" indent="1"/>
    </xf>
    <xf numFmtId="4" fontId="30" fillId="41" borderId="39" applyNumberFormat="0" applyProtection="0">
      <alignment horizontal="left" vertical="center" indent="1"/>
    </xf>
    <xf numFmtId="4" fontId="30" fillId="36" borderId="39" applyNumberFormat="0" applyProtection="0">
      <alignment horizontal="right" vertical="center"/>
    </xf>
    <xf numFmtId="4" fontId="31" fillId="36" borderId="39" applyNumberFormat="0" applyProtection="0">
      <alignment horizontal="right" vertical="center"/>
    </xf>
    <xf numFmtId="0" fontId="23" fillId="25" borderId="39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0" fontId="23" fillId="25" borderId="39" applyNumberFormat="0" applyProtection="0">
      <alignment horizontal="left" vertical="center" indent="1"/>
    </xf>
    <xf numFmtId="0" fontId="35" fillId="0" borderId="0"/>
    <xf numFmtId="4" fontId="36" fillId="36" borderId="39" applyNumberFormat="0" applyProtection="0">
      <alignment horizontal="right" vertical="center"/>
    </xf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2" fillId="1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2" fillId="46" borderId="0" applyNumberFormat="0" applyBorder="0" applyAlignment="0" applyProtection="0"/>
    <xf numFmtId="0" fontId="21" fillId="45" borderId="0" applyNumberFormat="0" applyBorder="0" applyAlignment="0" applyProtection="0"/>
    <xf numFmtId="0" fontId="21" fillId="22" borderId="0" applyNumberFormat="0" applyBorder="0" applyAlignment="0" applyProtection="0"/>
    <xf numFmtId="0" fontId="22" fillId="47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2" fillId="43" borderId="0" applyNumberFormat="0" applyBorder="0" applyAlignment="0" applyProtection="0"/>
    <xf numFmtId="0" fontId="21" fillId="24" borderId="0" applyNumberFormat="0" applyBorder="0" applyAlignment="0" applyProtection="0"/>
    <xf numFmtId="0" fontId="21" fillId="48" borderId="0" applyNumberFormat="0" applyBorder="0" applyAlignment="0" applyProtection="0"/>
    <xf numFmtId="0" fontId="22" fillId="17" borderId="0" applyNumberFormat="0" applyBorder="0" applyAlignment="0" applyProtection="0"/>
    <xf numFmtId="0" fontId="21" fillId="48" borderId="0" applyNumberFormat="0" applyBorder="0" applyAlignment="0" applyProtection="0"/>
    <xf numFmtId="175" fontId="37" fillId="0" borderId="41">
      <protection locked="0"/>
    </xf>
    <xf numFmtId="0" fontId="38" fillId="14" borderId="42" applyNumberFormat="0" applyAlignment="0" applyProtection="0"/>
    <xf numFmtId="0" fontId="39" fillId="8" borderId="43" applyNumberFormat="0" applyAlignment="0" applyProtection="0"/>
    <xf numFmtId="0" fontId="38" fillId="14" borderId="42" applyNumberFormat="0" applyAlignment="0" applyProtection="0"/>
    <xf numFmtId="0" fontId="40" fillId="49" borderId="39" applyNumberFormat="0" applyAlignment="0" applyProtection="0"/>
    <xf numFmtId="0" fontId="41" fillId="12" borderId="44" applyNumberFormat="0" applyAlignment="0" applyProtection="0"/>
    <xf numFmtId="0" fontId="40" fillId="49" borderId="39" applyNumberFormat="0" applyAlignment="0" applyProtection="0"/>
    <xf numFmtId="0" fontId="42" fillId="49" borderId="42" applyNumberFormat="0" applyAlignment="0" applyProtection="0"/>
    <xf numFmtId="0" fontId="43" fillId="12" borderId="43" applyNumberFormat="0" applyAlignment="0" applyProtection="0"/>
    <xf numFmtId="0" fontId="42" fillId="49" borderId="42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>
      <alignment horizontal="center" vertical="center" wrapText="1"/>
    </xf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6" fillId="0" borderId="45" applyNumberFormat="0" applyFill="0" applyAlignment="0" applyProtection="0"/>
    <xf numFmtId="0" fontId="48" fillId="0" borderId="47" applyNumberFormat="0" applyFill="0" applyAlignment="0" applyProtection="0"/>
    <xf numFmtId="0" fontId="49" fillId="0" borderId="48" applyNumberFormat="0" applyFill="0" applyAlignment="0" applyProtection="0"/>
    <xf numFmtId="0" fontId="48" fillId="0" borderId="47" applyNumberFormat="0" applyFill="0" applyAlignment="0" applyProtection="0"/>
    <xf numFmtId="0" fontId="50" fillId="0" borderId="49" applyNumberFormat="0" applyFill="0" applyAlignment="0" applyProtection="0"/>
    <xf numFmtId="0" fontId="51" fillId="0" borderId="50" applyNumberFormat="0" applyFill="0" applyAlignment="0" applyProtection="0"/>
    <xf numFmtId="0" fontId="50" fillId="0" borderId="49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5" fontId="52" fillId="50" borderId="41"/>
    <xf numFmtId="0" fontId="53" fillId="0" borderId="51" applyNumberFormat="0" applyFill="0" applyAlignment="0" applyProtection="0"/>
    <xf numFmtId="0" fontId="41" fillId="0" borderId="52" applyNumberFormat="0" applyFill="0" applyAlignment="0" applyProtection="0"/>
    <xf numFmtId="0" fontId="53" fillId="0" borderId="51" applyNumberFormat="0" applyFill="0" applyAlignment="0" applyProtection="0"/>
    <xf numFmtId="0" fontId="54" fillId="51" borderId="53" applyNumberFormat="0" applyAlignment="0" applyProtection="0"/>
    <xf numFmtId="0" fontId="55" fillId="23" borderId="54" applyNumberFormat="0" applyAlignment="0" applyProtection="0"/>
    <xf numFmtId="0" fontId="54" fillId="51" borderId="53" applyNumberFormat="0" applyAlignment="0" applyProtection="0"/>
    <xf numFmtId="0" fontId="56" fillId="2" borderId="0" applyFill="0">
      <alignment wrapText="1"/>
    </xf>
    <xf numFmtId="0" fontId="57" fillId="0" borderId="0">
      <alignment horizontal="center" vertical="top" wrapText="1"/>
    </xf>
    <xf numFmtId="0" fontId="58" fillId="0" borderId="0">
      <alignment horizontal="centerContinuous" vertical="center" wrapText="1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47" borderId="0" applyNumberFormat="0" applyBorder="0" applyAlignment="0" applyProtection="0"/>
    <xf numFmtId="0" fontId="62" fillId="20" borderId="0" applyNumberFormat="0" applyBorder="0" applyAlignment="0" applyProtection="0"/>
    <xf numFmtId="0" fontId="61" fillId="47" borderId="0" applyNumberFormat="0" applyBorder="0" applyAlignment="0" applyProtection="0"/>
    <xf numFmtId="0" fontId="6" fillId="0" borderId="0"/>
    <xf numFmtId="0" fontId="6" fillId="0" borderId="0"/>
    <xf numFmtId="176" fontId="6" fillId="0" borderId="0"/>
    <xf numFmtId="0" fontId="63" fillId="0" borderId="0" applyNumberFormat="0" applyFont="0" applyBorder="0" applyProtection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64" fillId="0" borderId="0"/>
    <xf numFmtId="0" fontId="23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5" fillId="0" borderId="0"/>
    <xf numFmtId="0" fontId="65" fillId="0" borderId="0"/>
    <xf numFmtId="0" fontId="14" fillId="0" borderId="0"/>
    <xf numFmtId="0" fontId="23" fillId="0" borderId="0"/>
    <xf numFmtId="0" fontId="63" fillId="0" borderId="0" applyNumberFormat="0" applyBorder="0" applyProtection="0"/>
    <xf numFmtId="0" fontId="6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6" fillId="0" borderId="0"/>
    <xf numFmtId="0" fontId="6" fillId="0" borderId="0"/>
    <xf numFmtId="0" fontId="66" fillId="0" borderId="0"/>
    <xf numFmtId="0" fontId="14" fillId="0" borderId="0"/>
    <xf numFmtId="0" fontId="14" fillId="0" borderId="0"/>
    <xf numFmtId="0" fontId="23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66" fillId="0" borderId="0"/>
    <xf numFmtId="0" fontId="6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4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7" fillId="0" borderId="0" applyNumberFormat="0" applyFont="0" applyBorder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68" fillId="0" borderId="0"/>
    <xf numFmtId="0" fontId="6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23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23" fillId="0" borderId="0"/>
    <xf numFmtId="0" fontId="23" fillId="0" borderId="0"/>
    <xf numFmtId="0" fontId="69" fillId="7" borderId="0" applyNumberFormat="0" applyBorder="0" applyAlignment="0" applyProtection="0"/>
    <xf numFmtId="0" fontId="70" fillId="52" borderId="0" applyNumberFormat="0" applyBorder="0" applyAlignment="0" applyProtection="0"/>
    <xf numFmtId="0" fontId="69" fillId="7" borderId="0" applyNumberFormat="0" applyBorder="0" applyAlignment="0" applyProtection="0"/>
    <xf numFmtId="170" fontId="71" fillId="3" borderId="37" applyNumberFormat="0" applyBorder="0" applyAlignment="0">
      <alignment vertical="center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3" fillId="20" borderId="43" applyNumberFormat="0" applyFont="0" applyAlignment="0" applyProtection="0"/>
    <xf numFmtId="0" fontId="23" fillId="20" borderId="42" applyNumberFormat="0" applyFont="0" applyAlignment="0" applyProtection="0"/>
    <xf numFmtId="0" fontId="23" fillId="20" borderId="43" applyNumberFormat="0" applyFont="0" applyAlignment="0" applyProtection="0"/>
    <xf numFmtId="0" fontId="6" fillId="20" borderId="43" applyNumberFormat="0" applyFont="0" applyAlignment="0" applyProtection="0"/>
    <xf numFmtId="0" fontId="23" fillId="20" borderId="43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4" fillId="0" borderId="55" applyNumberFormat="0" applyFill="0" applyAlignment="0" applyProtection="0"/>
    <xf numFmtId="0" fontId="75" fillId="0" borderId="56" applyNumberFormat="0" applyFill="0" applyAlignment="0" applyProtection="0"/>
    <xf numFmtId="0" fontId="74" fillId="0" borderId="55" applyNumberFormat="0" applyFill="0" applyAlignment="0" applyProtection="0"/>
    <xf numFmtId="0" fontId="15" fillId="0" borderId="0"/>
    <xf numFmtId="0" fontId="15" fillId="0" borderId="0"/>
    <xf numFmtId="0" fontId="15" fillId="0" borderId="0"/>
    <xf numFmtId="38" fontId="64" fillId="0" borderId="0">
      <alignment vertical="top"/>
    </xf>
    <xf numFmtId="0" fontId="15" fillId="0" borderId="0"/>
    <xf numFmtId="38" fontId="64" fillId="0" borderId="0">
      <alignment vertical="top"/>
    </xf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6" fillId="0" borderId="0">
      <alignment horizontal="center"/>
    </xf>
    <xf numFmtId="164" fontId="77" fillId="0" borderId="0" applyFont="0" applyFill="0" applyBorder="0" applyAlignment="0" applyProtection="0"/>
    <xf numFmtId="166" fontId="77" fillId="0" borderId="0" applyFont="0" applyFill="0" applyBorder="0" applyAlignment="0" applyProtection="0"/>
    <xf numFmtId="164" fontId="6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66" fillId="0" borderId="0"/>
    <xf numFmtId="166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6" fillId="0" borderId="0" applyFont="0" applyFill="0" applyBorder="0" applyAlignment="0" applyProtection="0"/>
    <xf numFmtId="178" fontId="1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" fontId="11" fillId="2" borderId="0" applyBorder="0">
      <alignment horizontal="right"/>
    </xf>
    <xf numFmtId="4" fontId="11" fillId="2" borderId="1" applyFont="0" applyBorder="0">
      <alignment horizontal="right"/>
    </xf>
    <xf numFmtId="0" fontId="78" fillId="9" borderId="0" applyNumberFormat="0" applyBorder="0" applyAlignment="0" applyProtection="0"/>
    <xf numFmtId="0" fontId="79" fillId="10" borderId="0" applyNumberFormat="0" applyBorder="0" applyAlignment="0" applyProtection="0"/>
    <xf numFmtId="0" fontId="78" fillId="9" borderId="0" applyNumberFormat="0" applyBorder="0" applyAlignment="0" applyProtection="0"/>
    <xf numFmtId="165" fontId="17" fillId="0" borderId="0">
      <protection locked="0"/>
    </xf>
    <xf numFmtId="0" fontId="53" fillId="0" borderId="51" applyNumberFormat="0" applyFill="0" applyAlignment="0" applyProtection="0"/>
    <xf numFmtId="0" fontId="38" fillId="53" borderId="42" applyNumberFormat="0" applyAlignment="0" applyProtection="0"/>
    <xf numFmtId="0" fontId="53" fillId="0" borderId="51" applyNumberFormat="0" applyFill="0" applyAlignment="0" applyProtection="0"/>
    <xf numFmtId="0" fontId="69" fillId="54" borderId="0" applyNumberFormat="0" applyBorder="0" applyAlignment="0" applyProtection="0"/>
    <xf numFmtId="0" fontId="21" fillId="55" borderId="0" applyNumberFormat="0" applyBorder="0" applyAlignment="0" applyProtection="0"/>
    <xf numFmtId="0" fontId="69" fillId="54" borderId="0" applyNumberFormat="0" applyBorder="0" applyAlignment="0" applyProtection="0"/>
    <xf numFmtId="0" fontId="5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23" fillId="56" borderId="43" applyNumberFormat="0" applyAlignment="0" applyProtection="0"/>
    <xf numFmtId="0" fontId="46" fillId="0" borderId="45" applyNumberFormat="0" applyFill="0" applyAlignment="0" applyProtection="0"/>
    <xf numFmtId="0" fontId="23" fillId="56" borderId="43" applyNumberFormat="0" applyAlignment="0" applyProtection="0"/>
    <xf numFmtId="0" fontId="21" fillId="57" borderId="0" applyNumberFormat="0" applyBorder="0" applyAlignment="0" applyProtection="0"/>
    <xf numFmtId="0" fontId="74" fillId="0" borderId="55" applyNumberFormat="0" applyFill="0" applyAlignment="0" applyProtection="0"/>
    <xf numFmtId="0" fontId="54" fillId="58" borderId="53" applyNumberFormat="0" applyAlignment="0" applyProtection="0"/>
    <xf numFmtId="0" fontId="76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4" applyFont="1"/>
    <xf numFmtId="0" fontId="7" fillId="0" borderId="0" xfId="4" applyFont="1" applyAlignment="1">
      <alignment horizontal="center"/>
    </xf>
    <xf numFmtId="2" fontId="7" fillId="0" borderId="0" xfId="4" applyNumberFormat="1" applyFont="1"/>
    <xf numFmtId="0" fontId="7" fillId="0" borderId="0" xfId="4" applyFont="1"/>
    <xf numFmtId="0" fontId="7" fillId="0" borderId="0" xfId="4" applyFont="1" applyAlignment="1" applyProtection="1">
      <alignment horizontal="center"/>
      <protection locked="0"/>
    </xf>
    <xf numFmtId="0" fontId="7" fillId="0" borderId="0" xfId="4" applyFont="1" applyProtection="1">
      <protection locked="0"/>
    </xf>
    <xf numFmtId="2" fontId="7" fillId="0" borderId="0" xfId="4" applyNumberFormat="1" applyFont="1" applyProtection="1">
      <protection locked="0"/>
    </xf>
    <xf numFmtId="2" fontId="7" fillId="0" borderId="7" xfId="4" applyNumberFormat="1" applyFont="1" applyBorder="1" applyAlignment="1">
      <alignment horizontal="center"/>
    </xf>
    <xf numFmtId="2" fontId="7" fillId="0" borderId="1" xfId="4" applyNumberFormat="1" applyFont="1" applyBorder="1" applyAlignment="1">
      <alignment horizontal="center"/>
    </xf>
    <xf numFmtId="2" fontId="7" fillId="0" borderId="8" xfId="4" applyNumberFormat="1" applyFont="1" applyBorder="1" applyAlignment="1">
      <alignment horizontal="center"/>
    </xf>
    <xf numFmtId="0" fontId="7" fillId="0" borderId="12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1" fontId="7" fillId="0" borderId="9" xfId="4" applyNumberFormat="1" applyFont="1" applyBorder="1" applyAlignment="1">
      <alignment horizontal="center"/>
    </xf>
    <xf numFmtId="1" fontId="7" fillId="0" borderId="10" xfId="4" applyNumberFormat="1" applyFont="1" applyBorder="1" applyAlignment="1">
      <alignment horizontal="center"/>
    </xf>
    <xf numFmtId="1" fontId="7" fillId="0" borderId="11" xfId="4" applyNumberFormat="1" applyFont="1" applyBorder="1" applyAlignment="1">
      <alignment horizontal="center"/>
    </xf>
    <xf numFmtId="167" fontId="7" fillId="0" borderId="7" xfId="4" applyNumberFormat="1" applyFont="1" applyBorder="1" applyProtection="1">
      <protection locked="0"/>
    </xf>
    <xf numFmtId="167" fontId="7" fillId="0" borderId="1" xfId="4" applyNumberFormat="1" applyFont="1" applyBorder="1" applyProtection="1">
      <protection locked="0"/>
    </xf>
    <xf numFmtId="168" fontId="7" fillId="0" borderId="8" xfId="4" applyNumberFormat="1" applyFont="1" applyBorder="1" applyProtection="1">
      <protection locked="0"/>
    </xf>
    <xf numFmtId="167" fontId="7" fillId="3" borderId="1" xfId="4" applyNumberFormat="1" applyFont="1" applyFill="1" applyBorder="1" applyProtection="1">
      <protection locked="0"/>
    </xf>
    <xf numFmtId="168" fontId="7" fillId="3" borderId="8" xfId="4" applyNumberFormat="1" applyFont="1" applyFill="1" applyBorder="1" applyProtection="1">
      <protection locked="0"/>
    </xf>
    <xf numFmtId="167" fontId="7" fillId="2" borderId="7" xfId="4" applyNumberFormat="1" applyFont="1" applyFill="1" applyBorder="1" applyProtection="1">
      <protection locked="0"/>
    </xf>
    <xf numFmtId="0" fontId="4" fillId="0" borderId="0" xfId="4" applyFont="1" applyProtection="1">
      <protection locked="0"/>
    </xf>
    <xf numFmtId="0" fontId="4" fillId="0" borderId="0" xfId="4" applyFont="1" applyAlignment="1" applyProtection="1">
      <alignment horizontal="center"/>
      <protection locked="0"/>
    </xf>
    <xf numFmtId="0" fontId="4" fillId="0" borderId="0" xfId="4" applyFont="1"/>
    <xf numFmtId="0" fontId="4" fillId="0" borderId="7" xfId="4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33" xfId="4" applyFont="1" applyBorder="1" applyAlignment="1">
      <alignment horizontal="center"/>
    </xf>
    <xf numFmtId="0" fontId="4" fillId="0" borderId="34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168" fontId="4" fillId="0" borderId="7" xfId="4" applyNumberFormat="1" applyFont="1" applyBorder="1" applyProtection="1">
      <protection locked="0"/>
    </xf>
    <xf numFmtId="168" fontId="4" fillId="0" borderId="1" xfId="4" applyNumberFormat="1" applyFont="1" applyBorder="1" applyProtection="1">
      <protection locked="0"/>
    </xf>
    <xf numFmtId="168" fontId="4" fillId="0" borderId="8" xfId="4" applyNumberFormat="1" applyFont="1" applyBorder="1" applyProtection="1">
      <protection locked="0"/>
    </xf>
    <xf numFmtId="168" fontId="4" fillId="3" borderId="1" xfId="4" applyNumberFormat="1" applyFont="1" applyFill="1" applyBorder="1" applyProtection="1">
      <protection locked="0"/>
    </xf>
    <xf numFmtId="168" fontId="4" fillId="3" borderId="8" xfId="4" applyNumberFormat="1" applyFont="1" applyFill="1" applyBorder="1" applyProtection="1">
      <protection locked="0"/>
    </xf>
    <xf numFmtId="168" fontId="4" fillId="2" borderId="7" xfId="4" applyNumberFormat="1" applyFont="1" applyFill="1" applyBorder="1" applyProtection="1">
      <protection locked="0"/>
    </xf>
    <xf numFmtId="0" fontId="1" fillId="0" borderId="0" xfId="4" applyFont="1" applyAlignment="1">
      <alignment horizontal="left" vertical="justify"/>
    </xf>
    <xf numFmtId="0" fontId="4" fillId="0" borderId="0" xfId="4" applyFont="1" applyAlignment="1" applyProtection="1">
      <alignment horizontal="center" vertical="center" wrapText="1"/>
      <protection locked="0"/>
    </xf>
    <xf numFmtId="169" fontId="4" fillId="0" borderId="0" xfId="4" applyNumberFormat="1" applyFont="1" applyProtection="1">
      <protection locked="0"/>
    </xf>
    <xf numFmtId="167" fontId="4" fillId="0" borderId="0" xfId="4" applyNumberFormat="1" applyFont="1" applyAlignment="1" applyProtection="1">
      <alignment horizontal="center"/>
      <protection locked="0"/>
    </xf>
    <xf numFmtId="3" fontId="4" fillId="0" borderId="0" xfId="4" applyNumberFormat="1" applyFont="1" applyAlignment="1" applyProtection="1">
      <alignment horizontal="center"/>
      <protection locked="0"/>
    </xf>
    <xf numFmtId="0" fontId="4" fillId="0" borderId="0" xfId="4" applyFont="1" applyAlignment="1" applyProtection="1">
      <alignment horizontal="right"/>
      <protection locked="0"/>
    </xf>
    <xf numFmtId="0" fontId="1" fillId="0" borderId="0" xfId="4" applyFont="1" applyProtection="1">
      <protection locked="0"/>
    </xf>
    <xf numFmtId="169" fontId="4" fillId="0" borderId="1" xfId="4" applyNumberFormat="1" applyFont="1" applyBorder="1" applyAlignment="1">
      <alignment horizontal="center"/>
    </xf>
    <xf numFmtId="3" fontId="4" fillId="0" borderId="1" xfId="4" applyNumberFormat="1" applyFont="1" applyBorder="1" applyAlignment="1">
      <alignment horizontal="center"/>
    </xf>
    <xf numFmtId="1" fontId="4" fillId="0" borderId="1" xfId="4" applyNumberFormat="1" applyFont="1" applyBorder="1" applyAlignment="1">
      <alignment horizontal="center" vertical="center" wrapText="1"/>
    </xf>
    <xf numFmtId="1" fontId="4" fillId="0" borderId="1" xfId="4" applyNumberFormat="1" applyFont="1" applyBorder="1" applyAlignment="1">
      <alignment horizontal="center"/>
    </xf>
    <xf numFmtId="1" fontId="4" fillId="0" borderId="0" xfId="4" applyNumberFormat="1" applyFont="1"/>
    <xf numFmtId="167" fontId="4" fillId="3" borderId="1" xfId="4" applyNumberFormat="1" applyFont="1" applyFill="1" applyBorder="1" applyProtection="1">
      <protection locked="0"/>
    </xf>
    <xf numFmtId="3" fontId="4" fillId="3" borderId="1" xfId="4" applyNumberFormat="1" applyFont="1" applyFill="1" applyBorder="1" applyAlignment="1" applyProtection="1">
      <alignment horizontal="center"/>
      <protection locked="0"/>
    </xf>
    <xf numFmtId="0" fontId="4" fillId="3" borderId="1" xfId="4" applyFont="1" applyFill="1" applyBorder="1" applyProtection="1">
      <protection locked="0"/>
    </xf>
    <xf numFmtId="170" fontId="4" fillId="3" borderId="1" xfId="4" applyNumberFormat="1" applyFont="1" applyFill="1" applyBorder="1" applyProtection="1">
      <protection locked="0"/>
    </xf>
    <xf numFmtId="0" fontId="4" fillId="0" borderId="1" xfId="4" applyFont="1" applyBorder="1" applyProtection="1">
      <protection locked="0"/>
    </xf>
    <xf numFmtId="167" fontId="4" fillId="2" borderId="1" xfId="4" applyNumberFormat="1" applyFont="1" applyFill="1" applyBorder="1" applyProtection="1">
      <protection locked="0"/>
    </xf>
    <xf numFmtId="1" fontId="4" fillId="2" borderId="1" xfId="4" applyNumberFormat="1" applyFont="1" applyFill="1" applyBorder="1" applyProtection="1">
      <protection locked="0"/>
    </xf>
    <xf numFmtId="1" fontId="4" fillId="3" borderId="1" xfId="4" applyNumberFormat="1" applyFont="1" applyFill="1" applyBorder="1" applyProtection="1">
      <protection locked="0"/>
    </xf>
    <xf numFmtId="167" fontId="4" fillId="3" borderId="1" xfId="4" applyNumberFormat="1" applyFont="1" applyFill="1" applyBorder="1" applyAlignment="1" applyProtection="1">
      <alignment horizontal="right"/>
      <protection locked="0"/>
    </xf>
    <xf numFmtId="1" fontId="4" fillId="3" borderId="1" xfId="4" applyNumberFormat="1" applyFont="1" applyFill="1" applyBorder="1" applyAlignment="1" applyProtection="1">
      <alignment horizontal="center"/>
      <protection locked="0"/>
    </xf>
    <xf numFmtId="0" fontId="2" fillId="0" borderId="0" xfId="4" applyFont="1" applyAlignment="1">
      <alignment horizontal="center"/>
    </xf>
    <xf numFmtId="0" fontId="2" fillId="0" borderId="0" xfId="4" applyFont="1" applyAlignment="1">
      <alignment vertical="justify"/>
    </xf>
    <xf numFmtId="169" fontId="2" fillId="0" borderId="0" xfId="4" applyNumberFormat="1" applyFont="1"/>
    <xf numFmtId="0" fontId="2" fillId="0" borderId="0" xfId="4" applyFont="1"/>
    <xf numFmtId="169" fontId="1" fillId="0" borderId="9" xfId="4" applyNumberFormat="1" applyFont="1" applyBorder="1" applyAlignment="1">
      <alignment horizontal="center" vertical="center" wrapText="1"/>
    </xf>
    <xf numFmtId="0" fontId="1" fillId="0" borderId="10" xfId="4" applyFont="1" applyBorder="1" applyAlignment="1">
      <alignment horizontal="center" vertical="center" wrapText="1"/>
    </xf>
    <xf numFmtId="0" fontId="1" fillId="0" borderId="11" xfId="4" applyFont="1" applyBorder="1" applyAlignment="1">
      <alignment horizontal="center" vertical="center" wrapText="1"/>
    </xf>
    <xf numFmtId="169" fontId="1" fillId="0" borderId="18" xfId="4" applyNumberFormat="1" applyFont="1" applyBorder="1" applyAlignment="1">
      <alignment horizontal="center" vertical="center" wrapText="1"/>
    </xf>
    <xf numFmtId="0" fontId="1" fillId="3" borderId="8" xfId="4" applyFont="1" applyFill="1" applyBorder="1" applyProtection="1">
      <protection locked="0"/>
    </xf>
    <xf numFmtId="0" fontId="1" fillId="3" borderId="0" xfId="4" applyFont="1" applyFill="1" applyProtection="1">
      <protection locked="0"/>
    </xf>
    <xf numFmtId="49" fontId="1" fillId="3" borderId="7" xfId="4" applyNumberFormat="1" applyFont="1" applyFill="1" applyBorder="1" applyAlignment="1" applyProtection="1">
      <alignment horizontal="center"/>
      <protection locked="0"/>
    </xf>
    <xf numFmtId="0" fontId="1" fillId="3" borderId="2" xfId="4" applyFont="1" applyFill="1" applyBorder="1" applyAlignment="1" applyProtection="1">
      <alignment horizontal="left" vertical="center" wrapText="1"/>
      <protection locked="0"/>
    </xf>
    <xf numFmtId="167" fontId="1" fillId="3" borderId="7" xfId="4" applyNumberFormat="1" applyFont="1" applyFill="1" applyBorder="1" applyProtection="1">
      <protection locked="0"/>
    </xf>
    <xf numFmtId="167" fontId="1" fillId="3" borderId="1" xfId="4" applyNumberFormat="1" applyFont="1" applyFill="1" applyBorder="1" applyProtection="1">
      <protection locked="0"/>
    </xf>
    <xf numFmtId="167" fontId="1" fillId="3" borderId="3" xfId="4" applyNumberFormat="1" applyFont="1" applyFill="1" applyBorder="1" applyProtection="1">
      <protection locked="0"/>
    </xf>
    <xf numFmtId="49" fontId="1" fillId="0" borderId="7" xfId="4" applyNumberFormat="1" applyFont="1" applyBorder="1" applyAlignment="1" applyProtection="1">
      <alignment horizontal="center"/>
      <protection locked="0"/>
    </xf>
    <xf numFmtId="0" fontId="1" fillId="0" borderId="2" xfId="4" applyFont="1" applyBorder="1" applyAlignment="1" applyProtection="1">
      <alignment horizontal="left" vertical="center" wrapText="1"/>
      <protection locked="0"/>
    </xf>
    <xf numFmtId="167" fontId="1" fillId="0" borderId="7" xfId="4" applyNumberFormat="1" applyFont="1" applyBorder="1" applyProtection="1">
      <protection locked="0"/>
    </xf>
    <xf numFmtId="167" fontId="1" fillId="0" borderId="1" xfId="4" applyNumberFormat="1" applyFont="1" applyBorder="1" applyProtection="1">
      <protection locked="0"/>
    </xf>
    <xf numFmtId="0" fontId="1" fillId="0" borderId="36" xfId="4" applyFont="1" applyBorder="1" applyProtection="1">
      <protection locked="0"/>
    </xf>
    <xf numFmtId="167" fontId="1" fillId="0" borderId="3" xfId="4" applyNumberFormat="1" applyFont="1" applyBorder="1" applyProtection="1">
      <protection locked="0"/>
    </xf>
    <xf numFmtId="167" fontId="1" fillId="3" borderId="8" xfId="4" applyNumberFormat="1" applyFont="1" applyFill="1" applyBorder="1" applyProtection="1">
      <protection locked="0"/>
    </xf>
    <xf numFmtId="0" fontId="1" fillId="3" borderId="1" xfId="4" applyFont="1" applyFill="1" applyBorder="1" applyProtection="1">
      <protection locked="0"/>
    </xf>
    <xf numFmtId="0" fontId="1" fillId="3" borderId="2" xfId="4" applyFont="1" applyFill="1" applyBorder="1" applyAlignment="1" applyProtection="1">
      <alignment vertical="justify"/>
      <protection locked="0"/>
    </xf>
    <xf numFmtId="169" fontId="1" fillId="3" borderId="8" xfId="4" applyNumberFormat="1" applyFont="1" applyFill="1" applyBorder="1" applyProtection="1">
      <protection locked="0"/>
    </xf>
    <xf numFmtId="0" fontId="1" fillId="0" borderId="2" xfId="4" quotePrefix="1" applyFont="1" applyBorder="1" applyAlignment="1" applyProtection="1">
      <alignment horizontal="left" vertical="center" wrapText="1"/>
      <protection locked="0"/>
    </xf>
    <xf numFmtId="49" fontId="1" fillId="2" borderId="7" xfId="4" applyNumberFormat="1" applyFont="1" applyFill="1" applyBorder="1" applyAlignment="1" applyProtection="1">
      <alignment horizontal="center"/>
      <protection locked="0"/>
    </xf>
    <xf numFmtId="0" fontId="1" fillId="2" borderId="2" xfId="4" applyFont="1" applyFill="1" applyBorder="1" applyAlignment="1" applyProtection="1">
      <alignment horizontal="left" vertical="center" wrapText="1"/>
      <protection locked="0"/>
    </xf>
    <xf numFmtId="169" fontId="1" fillId="3" borderId="7" xfId="4" applyNumberFormat="1" applyFont="1" applyFill="1" applyBorder="1" applyProtection="1">
      <protection locked="0"/>
    </xf>
    <xf numFmtId="169" fontId="1" fillId="3" borderId="3" xfId="4" applyNumberFormat="1" applyFont="1" applyFill="1" applyBorder="1" applyProtection="1">
      <protection locked="0"/>
    </xf>
    <xf numFmtId="49" fontId="1" fillId="3" borderId="9" xfId="4" applyNumberFormat="1" applyFont="1" applyFill="1" applyBorder="1" applyAlignment="1" applyProtection="1">
      <alignment horizontal="center"/>
      <protection locked="0"/>
    </xf>
    <xf numFmtId="0" fontId="1" fillId="3" borderId="20" xfId="4" applyFont="1" applyFill="1" applyBorder="1" applyAlignment="1" applyProtection="1">
      <alignment horizontal="left" vertical="center" wrapText="1"/>
      <protection locked="0"/>
    </xf>
    <xf numFmtId="169" fontId="1" fillId="3" borderId="9" xfId="4" applyNumberFormat="1" applyFont="1" applyFill="1" applyBorder="1" applyProtection="1">
      <protection locked="0"/>
    </xf>
    <xf numFmtId="0" fontId="1" fillId="3" borderId="10" xfId="4" applyFont="1" applyFill="1" applyBorder="1" applyProtection="1">
      <protection locked="0"/>
    </xf>
    <xf numFmtId="0" fontId="1" fillId="3" borderId="11" xfId="4" applyFont="1" applyFill="1" applyBorder="1" applyProtection="1">
      <protection locked="0"/>
    </xf>
    <xf numFmtId="169" fontId="1" fillId="3" borderId="18" xfId="4" applyNumberFormat="1" applyFont="1" applyFill="1" applyBorder="1" applyProtection="1">
      <protection locked="0"/>
    </xf>
    <xf numFmtId="49" fontId="1" fillId="0" borderId="0" xfId="4" applyNumberFormat="1" applyFont="1" applyAlignment="1" applyProtection="1">
      <alignment horizontal="center"/>
      <protection locked="0"/>
    </xf>
    <xf numFmtId="0" fontId="1" fillId="0" borderId="0" xfId="4" applyFont="1" applyAlignment="1" applyProtection="1">
      <alignment vertical="justify"/>
      <protection locked="0"/>
    </xf>
    <xf numFmtId="169" fontId="1" fillId="0" borderId="0" xfId="4" applyNumberFormat="1" applyFont="1" applyProtection="1">
      <protection locked="0"/>
    </xf>
    <xf numFmtId="49" fontId="1" fillId="0" borderId="0" xfId="4" applyNumberFormat="1" applyFont="1" applyAlignment="1" applyProtection="1">
      <alignment horizontal="left"/>
      <protection locked="0"/>
    </xf>
    <xf numFmtId="49" fontId="1" fillId="0" borderId="0" xfId="4" applyNumberFormat="1" applyFont="1" applyAlignment="1">
      <alignment horizontal="center"/>
    </xf>
    <xf numFmtId="0" fontId="1" fillId="0" borderId="0" xfId="4" applyFont="1" applyAlignment="1">
      <alignment vertical="justify"/>
    </xf>
    <xf numFmtId="169" fontId="1" fillId="0" borderId="0" xfId="4" applyNumberFormat="1" applyFont="1"/>
    <xf numFmtId="167" fontId="7" fillId="2" borderId="4" xfId="4" applyNumberFormat="1" applyFont="1" applyFill="1" applyBorder="1" applyProtection="1">
      <protection locked="0"/>
    </xf>
    <xf numFmtId="167" fontId="7" fillId="2" borderId="5" xfId="4" applyNumberFormat="1" applyFont="1" applyFill="1" applyBorder="1" applyProtection="1">
      <protection locked="0"/>
    </xf>
    <xf numFmtId="167" fontId="7" fillId="2" borderId="1" xfId="4" applyNumberFormat="1" applyFont="1" applyFill="1" applyBorder="1" applyProtection="1">
      <protection locked="0"/>
    </xf>
    <xf numFmtId="168" fontId="7" fillId="2" borderId="8" xfId="4" applyNumberFormat="1" applyFont="1" applyFill="1" applyBorder="1" applyProtection="1">
      <protection locked="0"/>
    </xf>
    <xf numFmtId="168" fontId="4" fillId="2" borderId="5" xfId="4" applyNumberFormat="1" applyFont="1" applyFill="1" applyBorder="1" applyProtection="1">
      <protection locked="0"/>
    </xf>
    <xf numFmtId="168" fontId="4" fillId="2" borderId="1" xfId="4" applyNumberFormat="1" applyFont="1" applyFill="1" applyBorder="1" applyProtection="1">
      <protection locked="0"/>
    </xf>
    <xf numFmtId="168" fontId="4" fillId="2" borderId="8" xfId="4" applyNumberFormat="1" applyFont="1" applyFill="1" applyBorder="1" applyProtection="1">
      <protection locked="0"/>
    </xf>
    <xf numFmtId="3" fontId="4" fillId="2" borderId="1" xfId="4" applyNumberFormat="1" applyFont="1" applyFill="1" applyBorder="1" applyAlignment="1" applyProtection="1">
      <alignment horizontal="center"/>
      <protection locked="0"/>
    </xf>
    <xf numFmtId="1" fontId="4" fillId="2" borderId="1" xfId="4" applyNumberFormat="1" applyFont="1" applyFill="1" applyBorder="1" applyAlignment="1" applyProtection="1">
      <alignment horizontal="center"/>
      <protection locked="0"/>
    </xf>
    <xf numFmtId="167" fontId="1" fillId="2" borderId="23" xfId="4" applyNumberFormat="1" applyFont="1" applyFill="1" applyBorder="1" applyProtection="1">
      <protection locked="0"/>
    </xf>
    <xf numFmtId="167" fontId="1" fillId="2" borderId="35" xfId="4" applyNumberFormat="1" applyFont="1" applyFill="1" applyBorder="1" applyProtection="1">
      <protection locked="0"/>
    </xf>
    <xf numFmtId="167" fontId="1" fillId="2" borderId="7" xfId="4" applyNumberFormat="1" applyFont="1" applyFill="1" applyBorder="1" applyProtection="1">
      <protection locked="0"/>
    </xf>
    <xf numFmtId="167" fontId="1" fillId="2" borderId="3" xfId="4" applyNumberFormat="1" applyFont="1" applyFill="1" applyBorder="1" applyProtection="1">
      <protection locked="0"/>
    </xf>
    <xf numFmtId="0" fontId="7" fillId="0" borderId="4" xfId="4" applyFont="1" applyBorder="1" applyAlignment="1" applyProtection="1">
      <alignment horizontal="center"/>
      <protection locked="0"/>
    </xf>
    <xf numFmtId="0" fontId="7" fillId="0" borderId="6" xfId="4" applyFont="1" applyBorder="1" applyAlignment="1" applyProtection="1">
      <alignment vertical="justify"/>
      <protection locked="0"/>
    </xf>
    <xf numFmtId="0" fontId="7" fillId="0" borderId="26" xfId="4" applyFont="1" applyBorder="1" applyAlignment="1" applyProtection="1">
      <alignment horizontal="center"/>
      <protection locked="0"/>
    </xf>
    <xf numFmtId="0" fontId="7" fillId="0" borderId="7" xfId="4" applyFont="1" applyBorder="1" applyAlignment="1" applyProtection="1">
      <alignment horizontal="center"/>
      <protection locked="0"/>
    </xf>
    <xf numFmtId="0" fontId="7" fillId="0" borderId="8" xfId="4" applyFont="1" applyBorder="1" applyAlignment="1" applyProtection="1">
      <alignment vertical="justify"/>
      <protection locked="0"/>
    </xf>
    <xf numFmtId="0" fontId="7" fillId="0" borderId="2" xfId="4" applyFont="1" applyBorder="1" applyAlignment="1" applyProtection="1">
      <alignment horizontal="center"/>
      <protection locked="0"/>
    </xf>
    <xf numFmtId="0" fontId="7" fillId="0" borderId="32" xfId="4" applyFont="1" applyBorder="1" applyAlignment="1" applyProtection="1">
      <alignment horizontal="center"/>
      <protection locked="0"/>
    </xf>
    <xf numFmtId="49" fontId="7" fillId="0" borderId="7" xfId="4" applyNumberFormat="1" applyFont="1" applyBorder="1" applyAlignment="1" applyProtection="1">
      <alignment horizont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4" fillId="0" borderId="23" xfId="4" applyFont="1" applyBorder="1" applyAlignment="1" applyProtection="1">
      <alignment horizontal="center"/>
      <protection locked="0"/>
    </xf>
    <xf numFmtId="0" fontId="4" fillId="0" borderId="24" xfId="4" applyFont="1" applyBorder="1" applyAlignment="1" applyProtection="1">
      <alignment vertical="justify"/>
      <protection locked="0"/>
    </xf>
    <xf numFmtId="0" fontId="4" fillId="0" borderId="2" xfId="4" applyFont="1" applyBorder="1" applyAlignment="1" applyProtection="1">
      <alignment horizontal="center"/>
      <protection locked="0"/>
    </xf>
    <xf numFmtId="0" fontId="4" fillId="0" borderId="7" xfId="4" applyFont="1" applyBorder="1" applyAlignment="1" applyProtection="1">
      <alignment horizontal="center"/>
      <protection locked="0"/>
    </xf>
    <xf numFmtId="0" fontId="4" fillId="0" borderId="8" xfId="4" applyFont="1" applyBorder="1" applyAlignment="1" applyProtection="1">
      <alignment vertical="justify"/>
      <protection locked="0"/>
    </xf>
    <xf numFmtId="0" fontId="1" fillId="0" borderId="8" xfId="4" applyFont="1" applyBorder="1" applyAlignment="1" applyProtection="1">
      <alignment vertical="justify"/>
      <protection locked="0"/>
    </xf>
    <xf numFmtId="0" fontId="3" fillId="0" borderId="1" xfId="4" applyFont="1" applyBorder="1" applyAlignment="1" applyProtection="1">
      <alignment horizontal="center" vertical="center" wrapText="1"/>
      <protection locked="0"/>
    </xf>
    <xf numFmtId="0" fontId="3" fillId="0" borderId="25" xfId="4" applyFont="1" applyBorder="1" applyAlignment="1" applyProtection="1">
      <alignment horizontal="left" vertical="center" wrapText="1"/>
      <protection locked="0"/>
    </xf>
    <xf numFmtId="49" fontId="4" fillId="0" borderId="1" xfId="4" applyNumberFormat="1" applyFont="1" applyBorder="1" applyAlignment="1" applyProtection="1">
      <alignment horizontal="center" vertical="center" wrapText="1"/>
      <protection locked="0"/>
    </xf>
    <xf numFmtId="0" fontId="4" fillId="0" borderId="25" xfId="4" applyFont="1" applyBorder="1" applyAlignment="1" applyProtection="1">
      <alignment horizontal="left" vertical="center" wrapText="1"/>
      <protection locked="0"/>
    </xf>
    <xf numFmtId="0" fontId="3" fillId="0" borderId="1" xfId="4" applyFont="1" applyBorder="1" applyProtection="1">
      <protection locked="0"/>
    </xf>
    <xf numFmtId="0" fontId="4" fillId="0" borderId="1" xfId="4" applyFont="1" applyBorder="1" applyAlignment="1" applyProtection="1">
      <alignment horizontal="center" vertical="center" wrapText="1"/>
      <protection locked="0"/>
    </xf>
    <xf numFmtId="0" fontId="4" fillId="0" borderId="1" xfId="4" applyFont="1" applyBorder="1" applyAlignment="1" applyProtection="1">
      <alignment horizontal="left"/>
      <protection locked="0"/>
    </xf>
    <xf numFmtId="0" fontId="8" fillId="0" borderId="1" xfId="4" applyFont="1" applyBorder="1" applyAlignment="1" applyProtection="1">
      <alignment vertical="center"/>
      <protection locked="0"/>
    </xf>
    <xf numFmtId="49" fontId="3" fillId="0" borderId="1" xfId="4" applyNumberFormat="1" applyFont="1" applyBorder="1" applyAlignment="1" applyProtection="1">
      <alignment horizontal="center" vertical="center" wrapText="1"/>
      <protection locked="0"/>
    </xf>
    <xf numFmtId="0" fontId="3" fillId="0" borderId="26" xfId="4" applyFont="1" applyBorder="1" applyAlignment="1" applyProtection="1">
      <alignment vertical="justify"/>
      <protection locked="0"/>
    </xf>
    <xf numFmtId="49" fontId="1" fillId="2" borderId="23" xfId="4" applyNumberFormat="1" applyFont="1" applyFill="1" applyBorder="1" applyAlignment="1" applyProtection="1">
      <alignment horizontal="center"/>
      <protection locked="0"/>
    </xf>
    <xf numFmtId="0" fontId="1" fillId="2" borderId="26" xfId="4" applyFont="1" applyFill="1" applyBorder="1" applyAlignment="1" applyProtection="1">
      <alignment horizontal="left" vertical="center" wrapText="1"/>
      <protection locked="0"/>
    </xf>
    <xf numFmtId="0" fontId="1" fillId="2" borderId="2" xfId="4" quotePrefix="1" applyFont="1" applyFill="1" applyBorder="1" applyAlignment="1" applyProtection="1">
      <alignment horizontal="left" vertical="center" wrapText="1"/>
      <protection locked="0"/>
    </xf>
    <xf numFmtId="167" fontId="7" fillId="0" borderId="32" xfId="4" applyNumberFormat="1" applyFont="1" applyBorder="1" applyProtection="1">
      <protection locked="0"/>
    </xf>
    <xf numFmtId="167" fontId="7" fillId="2" borderId="15" xfId="4" applyNumberFormat="1" applyFont="1" applyFill="1" applyBorder="1" applyProtection="1">
      <protection locked="0"/>
    </xf>
    <xf numFmtId="0" fontId="1" fillId="3" borderId="3" xfId="4" applyFont="1" applyFill="1" applyBorder="1" applyProtection="1">
      <protection locked="0"/>
    </xf>
    <xf numFmtId="0" fontId="12" fillId="0" borderId="0" xfId="4" applyFont="1" applyProtection="1">
      <protection locked="0"/>
    </xf>
    <xf numFmtId="2" fontId="4" fillId="2" borderId="1" xfId="4" applyNumberFormat="1" applyFont="1" applyFill="1" applyBorder="1" applyProtection="1">
      <protection locked="0"/>
    </xf>
    <xf numFmtId="2" fontId="7" fillId="2" borderId="7" xfId="4" applyNumberFormat="1" applyFont="1" applyFill="1" applyBorder="1" applyProtection="1">
      <protection locked="0"/>
    </xf>
    <xf numFmtId="2" fontId="7" fillId="2" borderId="1" xfId="4" applyNumberFormat="1" applyFont="1" applyFill="1" applyBorder="1" applyProtection="1">
      <protection locked="0"/>
    </xf>
    <xf numFmtId="2" fontId="7" fillId="2" borderId="8" xfId="4" applyNumberFormat="1" applyFont="1" applyFill="1" applyBorder="1" applyProtection="1">
      <protection locked="0"/>
    </xf>
    <xf numFmtId="167" fontId="13" fillId="2" borderId="1" xfId="4" applyNumberFormat="1" applyFont="1" applyFill="1" applyBorder="1" applyProtection="1">
      <protection locked="0"/>
    </xf>
    <xf numFmtId="0" fontId="8" fillId="0" borderId="1" xfId="4" applyFont="1" applyBorder="1" applyAlignment="1" applyProtection="1">
      <alignment horizontal="left" vertical="center"/>
      <protection locked="0"/>
    </xf>
    <xf numFmtId="168" fontId="4" fillId="3" borderId="1" xfId="4" applyNumberFormat="1" applyFont="1" applyFill="1" applyBorder="1" applyAlignment="1" applyProtection="1">
      <alignment horizontal="center"/>
      <protection locked="0"/>
    </xf>
    <xf numFmtId="0" fontId="4" fillId="0" borderId="8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vertical="center"/>
      <protection locked="0"/>
    </xf>
    <xf numFmtId="0" fontId="4" fillId="0" borderId="8" xfId="4" applyFont="1" applyBorder="1" applyAlignment="1" applyProtection="1">
      <alignment horizontal="left" vertical="center"/>
      <protection locked="0"/>
    </xf>
    <xf numFmtId="168" fontId="4" fillId="0" borderId="0" xfId="4" applyNumberFormat="1" applyFont="1" applyProtection="1">
      <protection locked="0"/>
    </xf>
    <xf numFmtId="0" fontId="2" fillId="3" borderId="8" xfId="4" applyFont="1" applyFill="1" applyBorder="1" applyProtection="1">
      <protection locked="0"/>
    </xf>
    <xf numFmtId="167" fontId="1" fillId="3" borderId="2" xfId="4" applyNumberFormat="1" applyFont="1" applyFill="1" applyBorder="1" applyAlignment="1" applyProtection="1">
      <alignment vertical="justify"/>
      <protection locked="0"/>
    </xf>
    <xf numFmtId="0" fontId="1" fillId="59" borderId="0" xfId="4" applyFont="1" applyFill="1" applyAlignment="1">
      <alignment horizontal="right"/>
    </xf>
    <xf numFmtId="0" fontId="1" fillId="59" borderId="0" xfId="4" applyFont="1" applyFill="1" applyAlignment="1">
      <alignment horizontal="left" vertical="justify"/>
    </xf>
    <xf numFmtId="168" fontId="4" fillId="59" borderId="0" xfId="4" applyNumberFormat="1" applyFont="1" applyFill="1" applyProtection="1">
      <protection locked="0"/>
    </xf>
    <xf numFmtId="0" fontId="4" fillId="59" borderId="0" xfId="4" applyFont="1" applyFill="1" applyProtection="1">
      <protection locked="0"/>
    </xf>
    <xf numFmtId="168" fontId="80" fillId="0" borderId="0" xfId="4" applyNumberFormat="1" applyFont="1"/>
    <xf numFmtId="179" fontId="4" fillId="0" borderId="0" xfId="4" applyNumberFormat="1" applyFont="1" applyProtection="1">
      <protection locked="0"/>
    </xf>
    <xf numFmtId="0" fontId="3" fillId="0" borderId="0" xfId="4" applyFont="1" applyProtection="1">
      <protection locked="0"/>
    </xf>
    <xf numFmtId="169" fontId="1" fillId="3" borderId="1" xfId="4" applyNumberFormat="1" applyFont="1" applyFill="1" applyBorder="1" applyProtection="1">
      <protection locked="0"/>
    </xf>
    <xf numFmtId="168" fontId="7" fillId="2" borderId="6" xfId="4" applyNumberFormat="1" applyFont="1" applyFill="1" applyBorder="1" applyProtection="1">
      <protection locked="0"/>
    </xf>
    <xf numFmtId="167" fontId="7" fillId="3" borderId="8" xfId="4" applyNumberFormat="1" applyFont="1" applyFill="1" applyBorder="1" applyProtection="1">
      <protection locked="0"/>
    </xf>
    <xf numFmtId="167" fontId="7" fillId="2" borderId="8" xfId="4" applyNumberFormat="1" applyFont="1" applyFill="1" applyBorder="1" applyProtection="1">
      <protection locked="0"/>
    </xf>
    <xf numFmtId="167" fontId="7" fillId="2" borderId="9" xfId="4" applyNumberFormat="1" applyFont="1" applyFill="1" applyBorder="1" applyProtection="1">
      <protection locked="0"/>
    </xf>
    <xf numFmtId="167" fontId="7" fillId="3" borderId="10" xfId="4" applyNumberFormat="1" applyFont="1" applyFill="1" applyBorder="1" applyProtection="1">
      <protection locked="0"/>
    </xf>
    <xf numFmtId="168" fontId="7" fillId="3" borderId="11" xfId="4" applyNumberFormat="1" applyFont="1" applyFill="1" applyBorder="1" applyProtection="1">
      <protection locked="0"/>
    </xf>
    <xf numFmtId="0" fontId="4" fillId="0" borderId="25" xfId="4" applyFont="1" applyFill="1" applyBorder="1" applyAlignment="1" applyProtection="1">
      <alignment horizontal="left" vertical="center" wrapText="1"/>
      <protection locked="0"/>
    </xf>
    <xf numFmtId="0" fontId="3" fillId="0" borderId="1" xfId="4" applyFont="1" applyFill="1" applyBorder="1" applyProtection="1">
      <protection locked="0"/>
    </xf>
    <xf numFmtId="0" fontId="4" fillId="0" borderId="1" xfId="4" applyFont="1" applyFill="1" applyBorder="1" applyProtection="1">
      <protection locked="0"/>
    </xf>
    <xf numFmtId="0" fontId="4" fillId="0" borderId="1" xfId="4" applyFont="1" applyFill="1" applyBorder="1" applyAlignment="1" applyProtection="1">
      <alignment horizontal="left"/>
      <protection locked="0"/>
    </xf>
    <xf numFmtId="0" fontId="8" fillId="0" borderId="1" xfId="4" applyFont="1" applyFill="1" applyBorder="1" applyAlignment="1" applyProtection="1">
      <alignment vertical="center"/>
      <protection locked="0"/>
    </xf>
    <xf numFmtId="0" fontId="8" fillId="0" borderId="1" xfId="4" applyFont="1" applyFill="1" applyBorder="1" applyAlignment="1" applyProtection="1">
      <alignment horizontal="left" vertical="center"/>
      <protection locked="0"/>
    </xf>
    <xf numFmtId="0" fontId="3" fillId="0" borderId="26" xfId="4" applyFont="1" applyFill="1" applyBorder="1" applyAlignment="1" applyProtection="1">
      <alignment vertical="justify"/>
      <protection locked="0"/>
    </xf>
    <xf numFmtId="3" fontId="1" fillId="3" borderId="24" xfId="4" applyNumberFormat="1" applyFont="1" applyFill="1" applyBorder="1" applyProtection="1">
      <protection locked="0"/>
    </xf>
    <xf numFmtId="167" fontId="7" fillId="0" borderId="15" xfId="4" applyNumberFormat="1" applyFont="1" applyBorder="1" applyAlignment="1" applyProtection="1">
      <alignment horizontal="center"/>
      <protection locked="0"/>
    </xf>
    <xf numFmtId="167" fontId="7" fillId="0" borderId="16" xfId="4" applyNumberFormat="1" applyFont="1" applyBorder="1" applyAlignment="1" applyProtection="1">
      <alignment horizontal="center"/>
      <protection locked="0"/>
    </xf>
    <xf numFmtId="167" fontId="7" fillId="0" borderId="17" xfId="4" applyNumberFormat="1" applyFont="1" applyBorder="1" applyAlignment="1" applyProtection="1">
      <alignment horizontal="center"/>
      <protection locked="0"/>
    </xf>
    <xf numFmtId="0" fontId="1" fillId="0" borderId="0" xfId="4" applyFont="1" applyAlignment="1">
      <alignment horizontal="left"/>
    </xf>
    <xf numFmtId="0" fontId="6" fillId="0" borderId="0" xfId="4"/>
    <xf numFmtId="0" fontId="7" fillId="0" borderId="27" xfId="4" applyFont="1" applyBorder="1" applyAlignment="1">
      <alignment horizontal="center" wrapText="1"/>
    </xf>
    <xf numFmtId="0" fontId="7" fillId="0" borderId="23" xfId="4" applyFont="1" applyBorder="1" applyAlignment="1">
      <alignment horizontal="center" wrapText="1"/>
    </xf>
    <xf numFmtId="0" fontId="7" fillId="0" borderId="28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7" fillId="0" borderId="29" xfId="4" applyFont="1" applyBorder="1" applyAlignment="1">
      <alignment horizontal="center" vertical="justify"/>
    </xf>
    <xf numFmtId="0" fontId="7" fillId="0" borderId="30" xfId="4" applyFont="1" applyBorder="1" applyAlignment="1">
      <alignment horizontal="center" vertical="justify"/>
    </xf>
    <xf numFmtId="0" fontId="7" fillId="0" borderId="31" xfId="4" applyFont="1" applyBorder="1" applyAlignment="1">
      <alignment horizontal="center" vertical="justify"/>
    </xf>
    <xf numFmtId="0" fontId="2" fillId="0" borderId="0" xfId="4" applyFont="1"/>
    <xf numFmtId="0" fontId="0" fillId="0" borderId="0" xfId="0"/>
    <xf numFmtId="0" fontId="4" fillId="0" borderId="1" xfId="4" applyFont="1" applyBorder="1"/>
    <xf numFmtId="0" fontId="4" fillId="0" borderId="13" xfId="4" applyFont="1" applyBorder="1" applyAlignment="1">
      <alignment horizontal="center" vertical="center"/>
    </xf>
    <xf numFmtId="0" fontId="4" fillId="0" borderId="22" xfId="4" applyFont="1" applyBorder="1" applyAlignment="1">
      <alignment horizontal="center" vertical="center"/>
    </xf>
    <xf numFmtId="0" fontId="4" fillId="0" borderId="29" xfId="4" applyFont="1" applyBorder="1" applyAlignment="1">
      <alignment horizontal="center" vertical="center" wrapText="1"/>
    </xf>
    <xf numFmtId="0" fontId="4" fillId="0" borderId="30" xfId="4" applyFont="1" applyBorder="1" applyAlignment="1">
      <alignment horizontal="center" vertical="center" wrapText="1"/>
    </xf>
    <xf numFmtId="0" fontId="4" fillId="0" borderId="31" xfId="4" applyFont="1" applyBorder="1" applyAlignment="1">
      <alignment horizontal="center" vertical="center" wrapText="1"/>
    </xf>
    <xf numFmtId="0" fontId="3" fillId="0" borderId="2" xfId="4" applyFont="1" applyBorder="1" applyAlignment="1" applyProtection="1">
      <alignment horizontal="center" vertical="center" wrapText="1"/>
      <protection locked="0"/>
    </xf>
    <xf numFmtId="0" fontId="3" fillId="0" borderId="25" xfId="4" applyFont="1" applyBorder="1" applyAlignment="1" applyProtection="1">
      <alignment horizontal="center" vertical="center" wrapText="1"/>
      <protection locked="0"/>
    </xf>
    <xf numFmtId="0" fontId="3" fillId="0" borderId="3" xfId="4" applyFont="1" applyBorder="1" applyAlignment="1" applyProtection="1">
      <alignment horizontal="center" vertical="center" wrapText="1"/>
      <protection locked="0"/>
    </xf>
    <xf numFmtId="0" fontId="4" fillId="0" borderId="1" xfId="4" applyFont="1" applyBorder="1" applyAlignment="1">
      <alignment horizontal="center" vertical="center" wrapText="1"/>
    </xf>
    <xf numFmtId="167" fontId="4" fillId="0" borderId="1" xfId="4" applyNumberFormat="1" applyFont="1" applyBorder="1" applyAlignment="1">
      <alignment horizontal="center" vertical="center" wrapText="1"/>
    </xf>
    <xf numFmtId="0" fontId="2" fillId="0" borderId="0" xfId="4" applyFont="1" applyAlignment="1" applyProtection="1">
      <alignment horizontal="center"/>
      <protection locked="0"/>
    </xf>
    <xf numFmtId="0" fontId="2" fillId="2" borderId="0" xfId="4" applyFont="1" applyFill="1" applyAlignment="1">
      <alignment horizontal="center"/>
    </xf>
    <xf numFmtId="169" fontId="4" fillId="0" borderId="1" xfId="4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4" fillId="0" borderId="25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wrapText="1"/>
    </xf>
    <xf numFmtId="169" fontId="2" fillId="0" borderId="21" xfId="4" applyNumberFormat="1" applyFont="1" applyBorder="1" applyAlignment="1">
      <alignment horizontal="center" vertical="center" wrapText="1"/>
    </xf>
    <xf numFmtId="169" fontId="2" fillId="0" borderId="5" xfId="4" applyNumberFormat="1" applyFont="1" applyBorder="1" applyAlignment="1">
      <alignment horizontal="center" vertical="center" wrapText="1"/>
    </xf>
    <xf numFmtId="169" fontId="2" fillId="0" borderId="6" xfId="4" applyNumberFormat="1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6" fillId="0" borderId="0" xfId="4" applyAlignment="1">
      <alignment horizontal="center"/>
    </xf>
    <xf numFmtId="49" fontId="1" fillId="0" borderId="4" xfId="4" applyNumberFormat="1" applyFont="1" applyBorder="1" applyAlignment="1">
      <alignment horizontal="center" vertical="center" wrapText="1"/>
    </xf>
    <xf numFmtId="49" fontId="1" fillId="0" borderId="9" xfId="4" applyNumberFormat="1" applyFont="1" applyBorder="1" applyAlignment="1">
      <alignment horizontal="center" vertical="center" wrapText="1"/>
    </xf>
    <xf numFmtId="0" fontId="1" fillId="0" borderId="19" xfId="4" applyFont="1" applyBorder="1" applyAlignment="1">
      <alignment horizontal="center" vertical="center" wrapText="1"/>
    </xf>
    <xf numFmtId="0" fontId="1" fillId="0" borderId="20" xfId="4" applyFont="1" applyBorder="1" applyAlignment="1">
      <alignment horizontal="center" vertical="center" wrapText="1"/>
    </xf>
    <xf numFmtId="169" fontId="2" fillId="0" borderId="4" xfId="4" applyNumberFormat="1" applyFont="1" applyBorder="1" applyAlignment="1">
      <alignment horizontal="center" vertical="center" wrapText="1"/>
    </xf>
  </cellXfs>
  <cellStyles count="392">
    <cellStyle name=" 1" xfId="8" xr:uid="{00000000-0005-0000-0000-000000000000}"/>
    <cellStyle name="_07. расчет тарифа 2007 от 23.08.06 для аудиторов" xfId="9" xr:uid="{00000000-0005-0000-0000-000001000000}"/>
    <cellStyle name="_Агафонов ЛИЗИНГ 19 сентября" xfId="10" xr:uid="{00000000-0005-0000-0000-000002000000}"/>
    <cellStyle name="_Анализ_231207-3 (2)" xfId="11" xr:uid="{00000000-0005-0000-0000-000003000000}"/>
    <cellStyle name="_Заявка Тестова  СКОРРЕКТИРОВАННАЯ" xfId="12" xr:uid="{00000000-0005-0000-0000-000004000000}"/>
    <cellStyle name="_Инвест программа" xfId="13" xr:uid="{00000000-0005-0000-0000-000005000000}"/>
    <cellStyle name="_ИНФОРМАЦИЯ ПО ДОГОВОРАМ ЛИЗИНГА" xfId="14" xr:uid="{00000000-0005-0000-0000-000006000000}"/>
    <cellStyle name="_ИНФОРМАЦИЯ ПО ДОГОВОРАМ ЛИЗИНГА 19 мая" xfId="15" xr:uid="{00000000-0005-0000-0000-000007000000}"/>
    <cellStyle name="_ИНФОРМАЦИЯ ПО ДОГОВОРАМ ЛИЗИНГА 27.04.071" xfId="16" xr:uid="{00000000-0005-0000-0000-000008000000}"/>
    <cellStyle name="_ИНФОРМАЦИЯ ПО ДОГОВОРАМ ЛИЗИНГА1" xfId="17" xr:uid="{00000000-0005-0000-0000-000009000000}"/>
    <cellStyle name="_Копия Программа первоочередных мер_(правка 18 05 06 Усаров_2А_3)" xfId="18" xr:uid="{00000000-0005-0000-0000-00000A000000}"/>
    <cellStyle name="_Копия Свод все сети+" xfId="19" xr:uid="{00000000-0005-0000-0000-00000B000000}"/>
    <cellStyle name="_Копия формы для ФСК" xfId="20" xr:uid="{00000000-0005-0000-0000-00000C000000}"/>
    <cellStyle name="_ЛИЗИНГ" xfId="21" xr:uid="{00000000-0005-0000-0000-00000D000000}"/>
    <cellStyle name="_ЛИЗИНГ Агафонов 15.01.08" xfId="22" xr:uid="{00000000-0005-0000-0000-00000E000000}"/>
    <cellStyle name="_Лизинг справка по забалансу 3 апрель" xfId="23" xr:uid="{00000000-0005-0000-0000-00000F000000}"/>
    <cellStyle name="_Лист1" xfId="24" xr:uid="{00000000-0005-0000-0000-000010000000}"/>
    <cellStyle name="_Макет_Итоговый лист по анализу ИПР" xfId="25" xr:uid="{00000000-0005-0000-0000-000011000000}"/>
    <cellStyle name="_ОКС - программа кап.стройки" xfId="26" xr:uid="{00000000-0005-0000-0000-000012000000}"/>
    <cellStyle name="_Расчет амортизации-ОТПРАВКА" xfId="27" xr:uid="{00000000-0005-0000-0000-000013000000}"/>
    <cellStyle name="_смета расходов по версии ФСТ от 26.09.06 - Звержанская" xfId="28" xr:uid="{00000000-0005-0000-0000-000014000000}"/>
    <cellStyle name="_СМЕТЫ 2005 2006 2007" xfId="29" xr:uid="{00000000-0005-0000-0000-000015000000}"/>
    <cellStyle name="_Справка по забалансу по лизингу" xfId="30" xr:uid="{00000000-0005-0000-0000-000016000000}"/>
    <cellStyle name="_счета 2008 оплаченные в 2007г " xfId="31" xr:uid="{00000000-0005-0000-0000-000017000000}"/>
    <cellStyle name="_ТАРИФ1" xfId="32" xr:uid="{00000000-0005-0000-0000-000018000000}"/>
    <cellStyle name="_Фина план на 2007 год (ФО)" xfId="33" xr:uid="{00000000-0005-0000-0000-000019000000}"/>
    <cellStyle name="_ФП К" xfId="34" xr:uid="{00000000-0005-0000-0000-00001A000000}"/>
    <cellStyle name="_ФП К_к ФСТ" xfId="35" xr:uid="{00000000-0005-0000-0000-00001B000000}"/>
    <cellStyle name="_ФСТ-2007-отправка-сентябрь ИСТОЧНИКИ" xfId="36" xr:uid="{00000000-0005-0000-0000-00001C000000}"/>
    <cellStyle name="”ќђќ‘ћ‚›‰" xfId="38" xr:uid="{00000000-0005-0000-0000-00001E000000}"/>
    <cellStyle name="”љ‘ђћ‚ђќќ›‰" xfId="39" xr:uid="{00000000-0005-0000-0000-00001F000000}"/>
    <cellStyle name="„…ќ…†ќ›‰" xfId="40" xr:uid="{00000000-0005-0000-0000-000020000000}"/>
    <cellStyle name="‡ђѓћ‹ћ‚ћљ1" xfId="41" xr:uid="{00000000-0005-0000-0000-000021000000}"/>
    <cellStyle name="‡ђѓћ‹ћ‚ћљ2" xfId="42" xr:uid="{00000000-0005-0000-0000-000022000000}"/>
    <cellStyle name="’ћѓћ‚›‰" xfId="37" xr:uid="{00000000-0005-0000-0000-00001D000000}"/>
    <cellStyle name="20% - Акцент1 2" xfId="43" xr:uid="{00000000-0005-0000-0000-000023000000}"/>
    <cellStyle name="20% - Акцент1 2 2" xfId="44" xr:uid="{00000000-0005-0000-0000-000024000000}"/>
    <cellStyle name="20% - Акцент1 2 3" xfId="45" xr:uid="{00000000-0005-0000-0000-000025000000}"/>
    <cellStyle name="20% - Акцент1 3" xfId="46" xr:uid="{00000000-0005-0000-0000-000026000000}"/>
    <cellStyle name="20% - Акцент2 2" xfId="47" xr:uid="{00000000-0005-0000-0000-000027000000}"/>
    <cellStyle name="20% - Акцент2 2 2" xfId="48" xr:uid="{00000000-0005-0000-0000-000028000000}"/>
    <cellStyle name="20% - Акцент2 2 3" xfId="49" xr:uid="{00000000-0005-0000-0000-000029000000}"/>
    <cellStyle name="20% - Акцент2 3" xfId="50" xr:uid="{00000000-0005-0000-0000-00002A000000}"/>
    <cellStyle name="20% - Акцент3 2" xfId="51" xr:uid="{00000000-0005-0000-0000-00002B000000}"/>
    <cellStyle name="20% - Акцент3 2 2" xfId="52" xr:uid="{00000000-0005-0000-0000-00002C000000}"/>
    <cellStyle name="20% - Акцент3 2 3" xfId="53" xr:uid="{00000000-0005-0000-0000-00002D000000}"/>
    <cellStyle name="20% - Акцент3 3" xfId="54" xr:uid="{00000000-0005-0000-0000-00002E000000}"/>
    <cellStyle name="20% - Акцент4 2" xfId="55" xr:uid="{00000000-0005-0000-0000-00002F000000}"/>
    <cellStyle name="20% - Акцент4 2 2" xfId="56" xr:uid="{00000000-0005-0000-0000-000030000000}"/>
    <cellStyle name="20% - Акцент4 2 3" xfId="57" xr:uid="{00000000-0005-0000-0000-000031000000}"/>
    <cellStyle name="20% - Акцент4 3" xfId="58" xr:uid="{00000000-0005-0000-0000-000032000000}"/>
    <cellStyle name="20% - Акцент5 2" xfId="59" xr:uid="{00000000-0005-0000-0000-000033000000}"/>
    <cellStyle name="20% - Акцент5 2 2" xfId="60" xr:uid="{00000000-0005-0000-0000-000034000000}"/>
    <cellStyle name="20% - Акцент5 2 3" xfId="61" xr:uid="{00000000-0005-0000-0000-000035000000}"/>
    <cellStyle name="20% - Акцент5 3" xfId="62" xr:uid="{00000000-0005-0000-0000-000036000000}"/>
    <cellStyle name="20% - Акцент6 2" xfId="63" xr:uid="{00000000-0005-0000-0000-000037000000}"/>
    <cellStyle name="20% - Акцент6 2 2" xfId="64" xr:uid="{00000000-0005-0000-0000-000038000000}"/>
    <cellStyle name="20% - Акцент6 2 3" xfId="65" xr:uid="{00000000-0005-0000-0000-000039000000}"/>
    <cellStyle name="20% - Акцент6 3" xfId="66" xr:uid="{00000000-0005-0000-0000-00003A000000}"/>
    <cellStyle name="40% - Акцент1 2" xfId="67" xr:uid="{00000000-0005-0000-0000-00003B000000}"/>
    <cellStyle name="40% - Акцент1 2 2" xfId="68" xr:uid="{00000000-0005-0000-0000-00003C000000}"/>
    <cellStyle name="40% - Акцент1 2 3" xfId="69" xr:uid="{00000000-0005-0000-0000-00003D000000}"/>
    <cellStyle name="40% - Акцент1 3" xfId="70" xr:uid="{00000000-0005-0000-0000-00003E000000}"/>
    <cellStyle name="40% - Акцент2 2" xfId="71" xr:uid="{00000000-0005-0000-0000-00003F000000}"/>
    <cellStyle name="40% - Акцент2 2 2" xfId="72" xr:uid="{00000000-0005-0000-0000-000040000000}"/>
    <cellStyle name="40% - Акцент2 2 3" xfId="73" xr:uid="{00000000-0005-0000-0000-000041000000}"/>
    <cellStyle name="40% - Акцент2 3" xfId="74" xr:uid="{00000000-0005-0000-0000-000042000000}"/>
    <cellStyle name="40% - Акцент3 2" xfId="75" xr:uid="{00000000-0005-0000-0000-000043000000}"/>
    <cellStyle name="40% - Акцент3 2 2" xfId="76" xr:uid="{00000000-0005-0000-0000-000044000000}"/>
    <cellStyle name="40% - Акцент3 2 3" xfId="77" xr:uid="{00000000-0005-0000-0000-000045000000}"/>
    <cellStyle name="40% - Акцент3 3" xfId="78" xr:uid="{00000000-0005-0000-0000-000046000000}"/>
    <cellStyle name="40% - Акцент4 2" xfId="79" xr:uid="{00000000-0005-0000-0000-000047000000}"/>
    <cellStyle name="40% - Акцент4 2 2" xfId="80" xr:uid="{00000000-0005-0000-0000-000048000000}"/>
    <cellStyle name="40% - Акцент4 2 3" xfId="81" xr:uid="{00000000-0005-0000-0000-000049000000}"/>
    <cellStyle name="40% - Акцент4 3" xfId="82" xr:uid="{00000000-0005-0000-0000-00004A000000}"/>
    <cellStyle name="40% - Акцент5 2" xfId="83" xr:uid="{00000000-0005-0000-0000-00004B000000}"/>
    <cellStyle name="40% - Акцент5 2 2" xfId="84" xr:uid="{00000000-0005-0000-0000-00004C000000}"/>
    <cellStyle name="40% - Акцент5 2 3" xfId="85" xr:uid="{00000000-0005-0000-0000-00004D000000}"/>
    <cellStyle name="40% - Акцент5 3" xfId="86" xr:uid="{00000000-0005-0000-0000-00004E000000}"/>
    <cellStyle name="40% - Акцент6 2" xfId="87" xr:uid="{00000000-0005-0000-0000-00004F000000}"/>
    <cellStyle name="40% - Акцент6 2 2" xfId="88" xr:uid="{00000000-0005-0000-0000-000050000000}"/>
    <cellStyle name="40% - Акцент6 2 3" xfId="89" xr:uid="{00000000-0005-0000-0000-000051000000}"/>
    <cellStyle name="40% - Акцент6 3" xfId="90" xr:uid="{00000000-0005-0000-0000-000052000000}"/>
    <cellStyle name="60% - Акцент1 2" xfId="91" xr:uid="{00000000-0005-0000-0000-000053000000}"/>
    <cellStyle name="60% - Акцент1 2 2" xfId="92" xr:uid="{00000000-0005-0000-0000-000054000000}"/>
    <cellStyle name="60% - Акцент1 3" xfId="93" xr:uid="{00000000-0005-0000-0000-000055000000}"/>
    <cellStyle name="60% - Акцент2 2" xfId="94" xr:uid="{00000000-0005-0000-0000-000056000000}"/>
    <cellStyle name="60% - Акцент2 2 2" xfId="95" xr:uid="{00000000-0005-0000-0000-000057000000}"/>
    <cellStyle name="60% - Акцент2 3" xfId="96" xr:uid="{00000000-0005-0000-0000-000058000000}"/>
    <cellStyle name="60% - Акцент3 2" xfId="97" xr:uid="{00000000-0005-0000-0000-000059000000}"/>
    <cellStyle name="60% - Акцент3 2 2" xfId="98" xr:uid="{00000000-0005-0000-0000-00005A000000}"/>
    <cellStyle name="60% - Акцент3 3" xfId="99" xr:uid="{00000000-0005-0000-0000-00005B000000}"/>
    <cellStyle name="60% - Акцент4 2" xfId="100" xr:uid="{00000000-0005-0000-0000-00005C000000}"/>
    <cellStyle name="60% - Акцент4 2 2" xfId="101" xr:uid="{00000000-0005-0000-0000-00005D000000}"/>
    <cellStyle name="60% - Акцент4 3" xfId="102" xr:uid="{00000000-0005-0000-0000-00005E000000}"/>
    <cellStyle name="60% - Акцент5 2" xfId="103" xr:uid="{00000000-0005-0000-0000-00005F000000}"/>
    <cellStyle name="60% - Акцент5 2 2" xfId="104" xr:uid="{00000000-0005-0000-0000-000060000000}"/>
    <cellStyle name="60% - Акцент5 3" xfId="105" xr:uid="{00000000-0005-0000-0000-000061000000}"/>
    <cellStyle name="60% - Акцент6 2" xfId="106" xr:uid="{00000000-0005-0000-0000-000062000000}"/>
    <cellStyle name="60% - Акцент6 2 2" xfId="107" xr:uid="{00000000-0005-0000-0000-000063000000}"/>
    <cellStyle name="60% - Акцент6 3" xfId="108" xr:uid="{00000000-0005-0000-0000-000064000000}"/>
    <cellStyle name="Comma [0]_laroux" xfId="109" xr:uid="{00000000-0005-0000-0000-000065000000}"/>
    <cellStyle name="Comma_laroux" xfId="110" xr:uid="{00000000-0005-0000-0000-000066000000}"/>
    <cellStyle name="Currency [0]" xfId="111" xr:uid="{00000000-0005-0000-0000-000067000000}"/>
    <cellStyle name="Currency_laroux" xfId="112" xr:uid="{00000000-0005-0000-0000-000068000000}"/>
    <cellStyle name="Normal" xfId="113" xr:uid="{00000000-0005-0000-0000-000069000000}"/>
    <cellStyle name="Normal 1" xfId="114" xr:uid="{00000000-0005-0000-0000-00006A000000}"/>
    <cellStyle name="Normal 2" xfId="115" xr:uid="{00000000-0005-0000-0000-00006B000000}"/>
    <cellStyle name="Normal_ASUS" xfId="116" xr:uid="{00000000-0005-0000-0000-00006C000000}"/>
    <cellStyle name="Normal1" xfId="117" xr:uid="{00000000-0005-0000-0000-00006D000000}"/>
    <cellStyle name="Price_Body" xfId="118" xr:uid="{00000000-0005-0000-0000-00006E000000}"/>
    <cellStyle name="SAPBEXaggData" xfId="119" xr:uid="{00000000-0005-0000-0000-00006F000000}"/>
    <cellStyle name="SAPBEXaggDataEmph" xfId="120" xr:uid="{00000000-0005-0000-0000-000070000000}"/>
    <cellStyle name="SAPBEXaggItem" xfId="121" xr:uid="{00000000-0005-0000-0000-000071000000}"/>
    <cellStyle name="SAPBEXaggItemX" xfId="122" xr:uid="{00000000-0005-0000-0000-000072000000}"/>
    <cellStyle name="SAPBEXchaText" xfId="123" xr:uid="{00000000-0005-0000-0000-000073000000}"/>
    <cellStyle name="SAPBEXexcBad7" xfId="124" xr:uid="{00000000-0005-0000-0000-000074000000}"/>
    <cellStyle name="SAPBEXexcBad8" xfId="125" xr:uid="{00000000-0005-0000-0000-000075000000}"/>
    <cellStyle name="SAPBEXexcBad9" xfId="126" xr:uid="{00000000-0005-0000-0000-000076000000}"/>
    <cellStyle name="SAPBEXexcCritical4" xfId="127" xr:uid="{00000000-0005-0000-0000-000077000000}"/>
    <cellStyle name="SAPBEXexcCritical5" xfId="128" xr:uid="{00000000-0005-0000-0000-000078000000}"/>
    <cellStyle name="SAPBEXexcCritical6" xfId="129" xr:uid="{00000000-0005-0000-0000-000079000000}"/>
    <cellStyle name="SAPBEXexcGood1" xfId="130" xr:uid="{00000000-0005-0000-0000-00007A000000}"/>
    <cellStyle name="SAPBEXexcGood2" xfId="131" xr:uid="{00000000-0005-0000-0000-00007B000000}"/>
    <cellStyle name="SAPBEXexcGood3" xfId="132" xr:uid="{00000000-0005-0000-0000-00007C000000}"/>
    <cellStyle name="SAPBEXfilterDrill" xfId="133" xr:uid="{00000000-0005-0000-0000-00007D000000}"/>
    <cellStyle name="SAPBEXfilterItem" xfId="134" xr:uid="{00000000-0005-0000-0000-00007E000000}"/>
    <cellStyle name="SAPBEXfilterText" xfId="135" xr:uid="{00000000-0005-0000-0000-00007F000000}"/>
    <cellStyle name="SAPBEXformats" xfId="136" xr:uid="{00000000-0005-0000-0000-000080000000}"/>
    <cellStyle name="SAPBEXheaderItem" xfId="137" xr:uid="{00000000-0005-0000-0000-000081000000}"/>
    <cellStyle name="SAPBEXheaderText" xfId="138" xr:uid="{00000000-0005-0000-0000-000082000000}"/>
    <cellStyle name="SAPBEXHLevel0" xfId="139" xr:uid="{00000000-0005-0000-0000-000083000000}"/>
    <cellStyle name="SAPBEXHLevel0X" xfId="140" xr:uid="{00000000-0005-0000-0000-000084000000}"/>
    <cellStyle name="SAPBEXHLevel1" xfId="141" xr:uid="{00000000-0005-0000-0000-000085000000}"/>
    <cellStyle name="SAPBEXHLevel1X" xfId="142" xr:uid="{00000000-0005-0000-0000-000086000000}"/>
    <cellStyle name="SAPBEXHLevel2" xfId="143" xr:uid="{00000000-0005-0000-0000-000087000000}"/>
    <cellStyle name="SAPBEXHLevel2X" xfId="144" xr:uid="{00000000-0005-0000-0000-000088000000}"/>
    <cellStyle name="SAPBEXHLevel3" xfId="145" xr:uid="{00000000-0005-0000-0000-000089000000}"/>
    <cellStyle name="SAPBEXHLevel3X" xfId="146" xr:uid="{00000000-0005-0000-0000-00008A000000}"/>
    <cellStyle name="SAPBEXresData" xfId="147" xr:uid="{00000000-0005-0000-0000-00008B000000}"/>
    <cellStyle name="SAPBEXresDataEmph" xfId="148" xr:uid="{00000000-0005-0000-0000-00008C000000}"/>
    <cellStyle name="SAPBEXresItem" xfId="149" xr:uid="{00000000-0005-0000-0000-00008D000000}"/>
    <cellStyle name="SAPBEXresItemX" xfId="150" xr:uid="{00000000-0005-0000-0000-00008E000000}"/>
    <cellStyle name="SAPBEXstdData" xfId="151" xr:uid="{00000000-0005-0000-0000-00008F000000}"/>
    <cellStyle name="SAPBEXstdDataEmph" xfId="152" xr:uid="{00000000-0005-0000-0000-000090000000}"/>
    <cellStyle name="SAPBEXstdItem" xfId="153" xr:uid="{00000000-0005-0000-0000-000091000000}"/>
    <cellStyle name="SAPBEXstdItem 2" xfId="154" xr:uid="{00000000-0005-0000-0000-000092000000}"/>
    <cellStyle name="SAPBEXstdItemX" xfId="155" xr:uid="{00000000-0005-0000-0000-000093000000}"/>
    <cellStyle name="SAPBEXtitle" xfId="156" xr:uid="{00000000-0005-0000-0000-000094000000}"/>
    <cellStyle name="SAPBEXundefined" xfId="157" xr:uid="{00000000-0005-0000-0000-000095000000}"/>
    <cellStyle name="Акцент1 2" xfId="158" xr:uid="{00000000-0005-0000-0000-000096000000}"/>
    <cellStyle name="Акцент1 2 2" xfId="159" xr:uid="{00000000-0005-0000-0000-000097000000}"/>
    <cellStyle name="Акцент1 3" xfId="160" xr:uid="{00000000-0005-0000-0000-000098000000}"/>
    <cellStyle name="Акцент2 2" xfId="161" xr:uid="{00000000-0005-0000-0000-000099000000}"/>
    <cellStyle name="Акцент2 2 2" xfId="162" xr:uid="{00000000-0005-0000-0000-00009A000000}"/>
    <cellStyle name="Акцент2 3" xfId="163" xr:uid="{00000000-0005-0000-0000-00009B000000}"/>
    <cellStyle name="Акцент3 2" xfId="164" xr:uid="{00000000-0005-0000-0000-00009C000000}"/>
    <cellStyle name="Акцент3 2 2" xfId="165" xr:uid="{00000000-0005-0000-0000-00009D000000}"/>
    <cellStyle name="Акцент3 3" xfId="166" xr:uid="{00000000-0005-0000-0000-00009E000000}"/>
    <cellStyle name="Акцент4 2" xfId="167" xr:uid="{00000000-0005-0000-0000-00009F000000}"/>
    <cellStyle name="Акцент4 2 2" xfId="168" xr:uid="{00000000-0005-0000-0000-0000A0000000}"/>
    <cellStyle name="Акцент4 3" xfId="169" xr:uid="{00000000-0005-0000-0000-0000A1000000}"/>
    <cellStyle name="Акцент5 2" xfId="170" xr:uid="{00000000-0005-0000-0000-0000A2000000}"/>
    <cellStyle name="Акцент5 2 2" xfId="171" xr:uid="{00000000-0005-0000-0000-0000A3000000}"/>
    <cellStyle name="Акцент5 3" xfId="172" xr:uid="{00000000-0005-0000-0000-0000A4000000}"/>
    <cellStyle name="Акцент6 2" xfId="173" xr:uid="{00000000-0005-0000-0000-0000A5000000}"/>
    <cellStyle name="Акцент6 2 2" xfId="174" xr:uid="{00000000-0005-0000-0000-0000A6000000}"/>
    <cellStyle name="Акцент6 3" xfId="175" xr:uid="{00000000-0005-0000-0000-0000A7000000}"/>
    <cellStyle name="Беззащитный" xfId="176" xr:uid="{00000000-0005-0000-0000-0000A8000000}"/>
    <cellStyle name="Ввод  2" xfId="177" xr:uid="{00000000-0005-0000-0000-0000A9000000}"/>
    <cellStyle name="Ввод  2 2" xfId="178" xr:uid="{00000000-0005-0000-0000-0000AA000000}"/>
    <cellStyle name="Ввод  3" xfId="179" xr:uid="{00000000-0005-0000-0000-0000AB000000}"/>
    <cellStyle name="Вывод 2" xfId="180" xr:uid="{00000000-0005-0000-0000-0000AC000000}"/>
    <cellStyle name="Вывод 2 2" xfId="181" xr:uid="{00000000-0005-0000-0000-0000AD000000}"/>
    <cellStyle name="Вывод 3" xfId="182" xr:uid="{00000000-0005-0000-0000-0000AE000000}"/>
    <cellStyle name="Вычисление 2" xfId="183" xr:uid="{00000000-0005-0000-0000-0000AF000000}"/>
    <cellStyle name="Вычисление 2 2" xfId="184" xr:uid="{00000000-0005-0000-0000-0000B0000000}"/>
    <cellStyle name="Вычисление 3" xfId="185" xr:uid="{00000000-0005-0000-0000-0000B1000000}"/>
    <cellStyle name="Гиперссылка 2" xfId="186" xr:uid="{00000000-0005-0000-0000-0000B2000000}"/>
    <cellStyle name="Заголовок" xfId="187" xr:uid="{00000000-0005-0000-0000-0000B3000000}"/>
    <cellStyle name="Заголовок 1 2" xfId="188" xr:uid="{00000000-0005-0000-0000-0000B4000000}"/>
    <cellStyle name="Заголовок 1 2 2" xfId="189" xr:uid="{00000000-0005-0000-0000-0000B5000000}"/>
    <cellStyle name="Заголовок 1 3" xfId="190" xr:uid="{00000000-0005-0000-0000-0000B6000000}"/>
    <cellStyle name="Заголовок 2 2" xfId="191" xr:uid="{00000000-0005-0000-0000-0000B7000000}"/>
    <cellStyle name="Заголовок 2 2 2" xfId="192" xr:uid="{00000000-0005-0000-0000-0000B8000000}"/>
    <cellStyle name="Заголовок 2 3" xfId="193" xr:uid="{00000000-0005-0000-0000-0000B9000000}"/>
    <cellStyle name="Заголовок 3 2" xfId="194" xr:uid="{00000000-0005-0000-0000-0000BA000000}"/>
    <cellStyle name="Заголовок 3 2 2" xfId="195" xr:uid="{00000000-0005-0000-0000-0000BB000000}"/>
    <cellStyle name="Заголовок 3 3" xfId="196" xr:uid="{00000000-0005-0000-0000-0000BC000000}"/>
    <cellStyle name="Заголовок 4 2" xfId="197" xr:uid="{00000000-0005-0000-0000-0000BD000000}"/>
    <cellStyle name="Заголовок 4 2 2" xfId="198" xr:uid="{00000000-0005-0000-0000-0000BE000000}"/>
    <cellStyle name="Заголовок 4 3" xfId="199" xr:uid="{00000000-0005-0000-0000-0000BF000000}"/>
    <cellStyle name="ЗаголовокСтолбца" xfId="5" xr:uid="{00000000-0005-0000-0000-0000C0000000}"/>
    <cellStyle name="Защитный" xfId="200" xr:uid="{00000000-0005-0000-0000-0000C1000000}"/>
    <cellStyle name="Значение" xfId="6" xr:uid="{00000000-0005-0000-0000-0000C2000000}"/>
    <cellStyle name="Итог 2" xfId="201" xr:uid="{00000000-0005-0000-0000-0000C3000000}"/>
    <cellStyle name="Итог 2 2" xfId="202" xr:uid="{00000000-0005-0000-0000-0000C4000000}"/>
    <cellStyle name="Итог 3" xfId="203" xr:uid="{00000000-0005-0000-0000-0000C5000000}"/>
    <cellStyle name="Контрольная ячейка 2" xfId="204" xr:uid="{00000000-0005-0000-0000-0000C6000000}"/>
    <cellStyle name="Контрольная ячейка 2 2" xfId="205" xr:uid="{00000000-0005-0000-0000-0000C7000000}"/>
    <cellStyle name="Контрольная ячейка 3" xfId="206" xr:uid="{00000000-0005-0000-0000-0000C8000000}"/>
    <cellStyle name="Мои наименования показателей" xfId="207" xr:uid="{00000000-0005-0000-0000-0000C9000000}"/>
    <cellStyle name="Мой заголовок" xfId="208" xr:uid="{00000000-0005-0000-0000-0000CA000000}"/>
    <cellStyle name="Мой заголовок листа" xfId="209" xr:uid="{00000000-0005-0000-0000-0000CB000000}"/>
    <cellStyle name="Название 2" xfId="210" xr:uid="{00000000-0005-0000-0000-0000CC000000}"/>
    <cellStyle name="Название 2 2" xfId="211" xr:uid="{00000000-0005-0000-0000-0000CD000000}"/>
    <cellStyle name="Название 3" xfId="212" xr:uid="{00000000-0005-0000-0000-0000CE000000}"/>
    <cellStyle name="Нейтральный 2" xfId="213" xr:uid="{00000000-0005-0000-0000-0000CF000000}"/>
    <cellStyle name="Нейтральный 2 2" xfId="214" xr:uid="{00000000-0005-0000-0000-0000D0000000}"/>
    <cellStyle name="Нейтральный 3" xfId="215" xr:uid="{00000000-0005-0000-0000-0000D1000000}"/>
    <cellStyle name="Обычный" xfId="0" builtinId="0"/>
    <cellStyle name="Обычный 10" xfId="216" xr:uid="{00000000-0005-0000-0000-0000D3000000}"/>
    <cellStyle name="Обычный 10 2" xfId="217" xr:uid="{00000000-0005-0000-0000-0000D4000000}"/>
    <cellStyle name="Обычный 10 3" xfId="218" xr:uid="{00000000-0005-0000-0000-0000D5000000}"/>
    <cellStyle name="Обычный 10 4" xfId="219" xr:uid="{00000000-0005-0000-0000-0000D6000000}"/>
    <cellStyle name="Обычный 10 5" xfId="220" xr:uid="{00000000-0005-0000-0000-0000D7000000}"/>
    <cellStyle name="Обычный 10 5 2" xfId="221" xr:uid="{00000000-0005-0000-0000-0000D8000000}"/>
    <cellStyle name="Обычный 11" xfId="222" xr:uid="{00000000-0005-0000-0000-0000D9000000}"/>
    <cellStyle name="Обычный 11 2" xfId="223" xr:uid="{00000000-0005-0000-0000-0000DA000000}"/>
    <cellStyle name="Обычный 11 3" xfId="224" xr:uid="{00000000-0005-0000-0000-0000DB000000}"/>
    <cellStyle name="Обычный 110" xfId="225" xr:uid="{00000000-0005-0000-0000-0000DC000000}"/>
    <cellStyle name="Обычный 12" xfId="226" xr:uid="{00000000-0005-0000-0000-0000DD000000}"/>
    <cellStyle name="Обычный 12 2" xfId="227" xr:uid="{00000000-0005-0000-0000-0000DE000000}"/>
    <cellStyle name="Обычный 12 3" xfId="228" xr:uid="{00000000-0005-0000-0000-0000DF000000}"/>
    <cellStyle name="Обычный 13" xfId="229" xr:uid="{00000000-0005-0000-0000-0000E0000000}"/>
    <cellStyle name="Обычный 13 2" xfId="230" xr:uid="{00000000-0005-0000-0000-0000E1000000}"/>
    <cellStyle name="Обычный 14" xfId="231" xr:uid="{00000000-0005-0000-0000-0000E2000000}"/>
    <cellStyle name="Обычный 15" xfId="232" xr:uid="{00000000-0005-0000-0000-0000E3000000}"/>
    <cellStyle name="Обычный 15 2" xfId="233" xr:uid="{00000000-0005-0000-0000-0000E4000000}"/>
    <cellStyle name="Обычный 16" xfId="234" xr:uid="{00000000-0005-0000-0000-0000E5000000}"/>
    <cellStyle name="Обычный 16 2" xfId="235" xr:uid="{00000000-0005-0000-0000-0000E6000000}"/>
    <cellStyle name="Обычный 17" xfId="236" xr:uid="{00000000-0005-0000-0000-0000E7000000}"/>
    <cellStyle name="Обычный 2" xfId="2" xr:uid="{00000000-0005-0000-0000-0000E8000000}"/>
    <cellStyle name="Обычный 2 10" xfId="237" xr:uid="{00000000-0005-0000-0000-0000E9000000}"/>
    <cellStyle name="Обычный 2 11" xfId="238" xr:uid="{00000000-0005-0000-0000-0000EA000000}"/>
    <cellStyle name="Обычный 2 12" xfId="239" xr:uid="{00000000-0005-0000-0000-0000EB000000}"/>
    <cellStyle name="Обычный 2 2" xfId="240" xr:uid="{00000000-0005-0000-0000-0000EC000000}"/>
    <cellStyle name="Обычный 2 2 2" xfId="241" xr:uid="{00000000-0005-0000-0000-0000ED000000}"/>
    <cellStyle name="Обычный 2 2 2 2" xfId="242" xr:uid="{00000000-0005-0000-0000-0000EE000000}"/>
    <cellStyle name="Обычный 2 2 2 3" xfId="243" xr:uid="{00000000-0005-0000-0000-0000EF000000}"/>
    <cellStyle name="Обычный 2 2 3" xfId="244" xr:uid="{00000000-0005-0000-0000-0000F0000000}"/>
    <cellStyle name="Обычный 2 2 3 2" xfId="245" xr:uid="{00000000-0005-0000-0000-0000F1000000}"/>
    <cellStyle name="Обычный 2 2 4" xfId="246" xr:uid="{00000000-0005-0000-0000-0000F2000000}"/>
    <cellStyle name="Обычный 2 3" xfId="247" xr:uid="{00000000-0005-0000-0000-0000F3000000}"/>
    <cellStyle name="Обычный 2 3 2" xfId="248" xr:uid="{00000000-0005-0000-0000-0000F4000000}"/>
    <cellStyle name="Обычный 2 4" xfId="249" xr:uid="{00000000-0005-0000-0000-0000F5000000}"/>
    <cellStyle name="Обычный 2 5" xfId="250" xr:uid="{00000000-0005-0000-0000-0000F6000000}"/>
    <cellStyle name="Обычный 2 5 2" xfId="251" xr:uid="{00000000-0005-0000-0000-0000F7000000}"/>
    <cellStyle name="Обычный 2 5 3" xfId="252" xr:uid="{00000000-0005-0000-0000-0000F8000000}"/>
    <cellStyle name="Обычный 2 6" xfId="253" xr:uid="{00000000-0005-0000-0000-0000F9000000}"/>
    <cellStyle name="Обычный 2 7" xfId="254" xr:uid="{00000000-0005-0000-0000-0000FA000000}"/>
    <cellStyle name="Обычный 2 7 2" xfId="255" xr:uid="{00000000-0005-0000-0000-0000FB000000}"/>
    <cellStyle name="Обычный 2 8" xfId="256" xr:uid="{00000000-0005-0000-0000-0000FC000000}"/>
    <cellStyle name="Обычный 2 8 2" xfId="257" xr:uid="{00000000-0005-0000-0000-0000FD000000}"/>
    <cellStyle name="Обычный 2 8 3" xfId="258" xr:uid="{00000000-0005-0000-0000-0000FE000000}"/>
    <cellStyle name="Обычный 2 9" xfId="259" xr:uid="{00000000-0005-0000-0000-0000FF000000}"/>
    <cellStyle name="Обычный 3" xfId="4" xr:uid="{00000000-0005-0000-0000-000000010000}"/>
    <cellStyle name="Обычный 3 11" xfId="260" xr:uid="{00000000-0005-0000-0000-000001010000}"/>
    <cellStyle name="Обычный 3 2" xfId="261" xr:uid="{00000000-0005-0000-0000-000002010000}"/>
    <cellStyle name="Обычный 3 2 2" xfId="262" xr:uid="{00000000-0005-0000-0000-000003010000}"/>
    <cellStyle name="Обычный 3 2 2 2" xfId="263" xr:uid="{00000000-0005-0000-0000-000004010000}"/>
    <cellStyle name="Обычный 3 2 3" xfId="264" xr:uid="{00000000-0005-0000-0000-000005010000}"/>
    <cellStyle name="Обычный 3 2 4" xfId="265" xr:uid="{00000000-0005-0000-0000-000006010000}"/>
    <cellStyle name="Обычный 3 3" xfId="266" xr:uid="{00000000-0005-0000-0000-000007010000}"/>
    <cellStyle name="Обычный 3 3 2" xfId="267" xr:uid="{00000000-0005-0000-0000-000008010000}"/>
    <cellStyle name="Обычный 3 4" xfId="268" xr:uid="{00000000-0005-0000-0000-000009010000}"/>
    <cellStyle name="Обычный 3 5" xfId="269" xr:uid="{00000000-0005-0000-0000-00000A010000}"/>
    <cellStyle name="Обычный 3 6" xfId="270" xr:uid="{00000000-0005-0000-0000-00000B010000}"/>
    <cellStyle name="Обычный 3 7" xfId="271" xr:uid="{00000000-0005-0000-0000-00000C010000}"/>
    <cellStyle name="Обычный 3_ИП-май-2011" xfId="272" xr:uid="{00000000-0005-0000-0000-00000D010000}"/>
    <cellStyle name="Обычный 33" xfId="273" xr:uid="{00000000-0005-0000-0000-00000E010000}"/>
    <cellStyle name="Обычный 36 3" xfId="274" xr:uid="{00000000-0005-0000-0000-00000F010000}"/>
    <cellStyle name="Обычный 4" xfId="275" xr:uid="{00000000-0005-0000-0000-000010010000}"/>
    <cellStyle name="Обычный 4 2" xfId="276" xr:uid="{00000000-0005-0000-0000-000011010000}"/>
    <cellStyle name="Обычный 4 2 2" xfId="277" xr:uid="{00000000-0005-0000-0000-000012010000}"/>
    <cellStyle name="Обычный 4 2 3" xfId="278" xr:uid="{00000000-0005-0000-0000-000013010000}"/>
    <cellStyle name="Обычный 4 3" xfId="279" xr:uid="{00000000-0005-0000-0000-000014010000}"/>
    <cellStyle name="Обычный 5" xfId="280" xr:uid="{00000000-0005-0000-0000-000015010000}"/>
    <cellStyle name="Обычный 5 2" xfId="281" xr:uid="{00000000-0005-0000-0000-000016010000}"/>
    <cellStyle name="Обычный 5 3" xfId="282" xr:uid="{00000000-0005-0000-0000-000017010000}"/>
    <cellStyle name="Обычный 58" xfId="283" xr:uid="{00000000-0005-0000-0000-000018010000}"/>
    <cellStyle name="Обычный 6" xfId="284" xr:uid="{00000000-0005-0000-0000-000019010000}"/>
    <cellStyle name="Обычный 6 2" xfId="285" xr:uid="{00000000-0005-0000-0000-00001A010000}"/>
    <cellStyle name="Обычный 6 3" xfId="286" xr:uid="{00000000-0005-0000-0000-00001B010000}"/>
    <cellStyle name="Обычный 6 3 2" xfId="287" xr:uid="{00000000-0005-0000-0000-00001C010000}"/>
    <cellStyle name="Обычный 6 3 3" xfId="288" xr:uid="{00000000-0005-0000-0000-00001D010000}"/>
    <cellStyle name="Обычный 6 4" xfId="289" xr:uid="{00000000-0005-0000-0000-00001E010000}"/>
    <cellStyle name="Обычный 7" xfId="290" xr:uid="{00000000-0005-0000-0000-00001F010000}"/>
    <cellStyle name="Обычный 8" xfId="291" xr:uid="{00000000-0005-0000-0000-000020010000}"/>
    <cellStyle name="Обычный 8 2" xfId="292" xr:uid="{00000000-0005-0000-0000-000021010000}"/>
    <cellStyle name="Обычный 9" xfId="293" xr:uid="{00000000-0005-0000-0000-000022010000}"/>
    <cellStyle name="Обычный 9 2" xfId="294" xr:uid="{00000000-0005-0000-0000-000023010000}"/>
    <cellStyle name="Обычный 98" xfId="295" xr:uid="{00000000-0005-0000-0000-000024010000}"/>
    <cellStyle name="Плохой 2" xfId="296" xr:uid="{00000000-0005-0000-0000-000025010000}"/>
    <cellStyle name="Плохой 2 2" xfId="297" xr:uid="{00000000-0005-0000-0000-000026010000}"/>
    <cellStyle name="Плохой 3" xfId="298" xr:uid="{00000000-0005-0000-0000-000027010000}"/>
    <cellStyle name="Поле ввода" xfId="299" xr:uid="{00000000-0005-0000-0000-000028010000}"/>
    <cellStyle name="Пояснение 2" xfId="300" xr:uid="{00000000-0005-0000-0000-000029010000}"/>
    <cellStyle name="Пояснение 2 2" xfId="301" xr:uid="{00000000-0005-0000-0000-00002A010000}"/>
    <cellStyle name="Пояснение 3" xfId="302" xr:uid="{00000000-0005-0000-0000-00002B010000}"/>
    <cellStyle name="Примечание 2" xfId="303" xr:uid="{00000000-0005-0000-0000-00002C010000}"/>
    <cellStyle name="Примечание 2 2" xfId="304" xr:uid="{00000000-0005-0000-0000-00002D010000}"/>
    <cellStyle name="Примечание 2 3" xfId="305" xr:uid="{00000000-0005-0000-0000-00002E010000}"/>
    <cellStyle name="Примечание 3" xfId="306" xr:uid="{00000000-0005-0000-0000-00002F010000}"/>
    <cellStyle name="Примечание 4" xfId="307" xr:uid="{00000000-0005-0000-0000-000030010000}"/>
    <cellStyle name="Процентный 2" xfId="1" xr:uid="{00000000-0005-0000-0000-000031010000}"/>
    <cellStyle name="Процентный 2 2" xfId="308" xr:uid="{00000000-0005-0000-0000-000032010000}"/>
    <cellStyle name="Процентный 2 2 2" xfId="309" xr:uid="{00000000-0005-0000-0000-000033010000}"/>
    <cellStyle name="Процентный 2 3" xfId="310" xr:uid="{00000000-0005-0000-0000-000034010000}"/>
    <cellStyle name="Процентный 2 4" xfId="311" xr:uid="{00000000-0005-0000-0000-000035010000}"/>
    <cellStyle name="Связанная ячейка 2" xfId="312" xr:uid="{00000000-0005-0000-0000-000036010000}"/>
    <cellStyle name="Связанная ячейка 2 2" xfId="313" xr:uid="{00000000-0005-0000-0000-000037010000}"/>
    <cellStyle name="Связанная ячейка 3" xfId="314" xr:uid="{00000000-0005-0000-0000-000038010000}"/>
    <cellStyle name="Стиль 1" xfId="315" xr:uid="{00000000-0005-0000-0000-000039010000}"/>
    <cellStyle name="Стиль 1 2" xfId="316" xr:uid="{00000000-0005-0000-0000-00003A010000}"/>
    <cellStyle name="Стиль 1 2 2" xfId="317" xr:uid="{00000000-0005-0000-0000-00003B010000}"/>
    <cellStyle name="Стиль 1 20 2" xfId="318" xr:uid="{00000000-0005-0000-0000-00003C010000}"/>
    <cellStyle name="Стиль 1 22" xfId="319" xr:uid="{00000000-0005-0000-0000-00003D010000}"/>
    <cellStyle name="Стиль 1 3" xfId="320" xr:uid="{00000000-0005-0000-0000-00003E010000}"/>
    <cellStyle name="Текст предупреждения 2" xfId="321" xr:uid="{00000000-0005-0000-0000-00003F010000}"/>
    <cellStyle name="Текст предупреждения 2 2" xfId="322" xr:uid="{00000000-0005-0000-0000-000040010000}"/>
    <cellStyle name="Текст предупреждения 3" xfId="323" xr:uid="{00000000-0005-0000-0000-000041010000}"/>
    <cellStyle name="Текстовый" xfId="324" xr:uid="{00000000-0005-0000-0000-000042010000}"/>
    <cellStyle name="Тысячи [0]_3Com" xfId="325" xr:uid="{00000000-0005-0000-0000-000043010000}"/>
    <cellStyle name="Тысячи_3Com" xfId="326" xr:uid="{00000000-0005-0000-0000-000044010000}"/>
    <cellStyle name="Финансовый [0] 2" xfId="327" xr:uid="{00000000-0005-0000-0000-000045010000}"/>
    <cellStyle name="Финансовый 10" xfId="328" xr:uid="{00000000-0005-0000-0000-000046010000}"/>
    <cellStyle name="Финансовый 11" xfId="329" xr:uid="{00000000-0005-0000-0000-000047010000}"/>
    <cellStyle name="Финансовый 12" xfId="330" xr:uid="{00000000-0005-0000-0000-000048010000}"/>
    <cellStyle name="Финансовый 13" xfId="331" xr:uid="{00000000-0005-0000-0000-000049010000}"/>
    <cellStyle name="Финансовый 14" xfId="332" xr:uid="{00000000-0005-0000-0000-00004A010000}"/>
    <cellStyle name="Финансовый 15" xfId="333" xr:uid="{00000000-0005-0000-0000-00004B010000}"/>
    <cellStyle name="Финансовый 16" xfId="334" xr:uid="{00000000-0005-0000-0000-00004C010000}"/>
    <cellStyle name="Финансовый 17" xfId="335" xr:uid="{00000000-0005-0000-0000-00004D010000}"/>
    <cellStyle name="Финансовый 18" xfId="336" xr:uid="{00000000-0005-0000-0000-00004E010000}"/>
    <cellStyle name="Финансовый 19" xfId="337" xr:uid="{00000000-0005-0000-0000-00004F010000}"/>
    <cellStyle name="Финансовый 19 2" xfId="338" xr:uid="{00000000-0005-0000-0000-000050010000}"/>
    <cellStyle name="Финансовый 2" xfId="3" xr:uid="{00000000-0005-0000-0000-000051010000}"/>
    <cellStyle name="Финансовый 2 2" xfId="339" xr:uid="{00000000-0005-0000-0000-000052010000}"/>
    <cellStyle name="Финансовый 2 2 2" xfId="340" xr:uid="{00000000-0005-0000-0000-000053010000}"/>
    <cellStyle name="Финансовый 2 3" xfId="341" xr:uid="{00000000-0005-0000-0000-000054010000}"/>
    <cellStyle name="Финансовый 2 3 2" xfId="342" xr:uid="{00000000-0005-0000-0000-000055010000}"/>
    <cellStyle name="Финансовый 2 4" xfId="343" xr:uid="{00000000-0005-0000-0000-000056010000}"/>
    <cellStyle name="Финансовый 2 5" xfId="344" xr:uid="{00000000-0005-0000-0000-000057010000}"/>
    <cellStyle name="Финансовый 20" xfId="345" xr:uid="{00000000-0005-0000-0000-000058010000}"/>
    <cellStyle name="Финансовый 21" xfId="346" xr:uid="{00000000-0005-0000-0000-000059010000}"/>
    <cellStyle name="Финансовый 3" xfId="347" xr:uid="{00000000-0005-0000-0000-00005A010000}"/>
    <cellStyle name="Финансовый 3 2" xfId="348" xr:uid="{00000000-0005-0000-0000-00005B010000}"/>
    <cellStyle name="Финансовый 3 2 2" xfId="349" xr:uid="{00000000-0005-0000-0000-00005C010000}"/>
    <cellStyle name="Финансовый 3 3" xfId="350" xr:uid="{00000000-0005-0000-0000-00005D010000}"/>
    <cellStyle name="Финансовый 3 4" xfId="351" xr:uid="{00000000-0005-0000-0000-00005E010000}"/>
    <cellStyle name="Финансовый 4" xfId="352" xr:uid="{00000000-0005-0000-0000-00005F010000}"/>
    <cellStyle name="Финансовый 4 2" xfId="353" xr:uid="{00000000-0005-0000-0000-000060010000}"/>
    <cellStyle name="Финансовый 4 2 2" xfId="354" xr:uid="{00000000-0005-0000-0000-000061010000}"/>
    <cellStyle name="Финансовый 4 2 2 2" xfId="355" xr:uid="{00000000-0005-0000-0000-000062010000}"/>
    <cellStyle name="Финансовый 4 2 3" xfId="356" xr:uid="{00000000-0005-0000-0000-000063010000}"/>
    <cellStyle name="Финансовый 4 3" xfId="357" xr:uid="{00000000-0005-0000-0000-000064010000}"/>
    <cellStyle name="Финансовый 4 4" xfId="358" xr:uid="{00000000-0005-0000-0000-000065010000}"/>
    <cellStyle name="Финансовый 5" xfId="359" xr:uid="{00000000-0005-0000-0000-000066010000}"/>
    <cellStyle name="Финансовый 5 2" xfId="360" xr:uid="{00000000-0005-0000-0000-000067010000}"/>
    <cellStyle name="Финансовый 5 3" xfId="361" xr:uid="{00000000-0005-0000-0000-000068010000}"/>
    <cellStyle name="Финансовый 5 4" xfId="362" xr:uid="{00000000-0005-0000-0000-000069010000}"/>
    <cellStyle name="Финансовый 6" xfId="363" xr:uid="{00000000-0005-0000-0000-00006A010000}"/>
    <cellStyle name="Финансовый 6 2" xfId="364" xr:uid="{00000000-0005-0000-0000-00006B010000}"/>
    <cellStyle name="Финансовый 6 3" xfId="365" xr:uid="{00000000-0005-0000-0000-00006C010000}"/>
    <cellStyle name="Финансовый 6 4" xfId="366" xr:uid="{00000000-0005-0000-0000-00006D010000}"/>
    <cellStyle name="Финансовый 7" xfId="367" xr:uid="{00000000-0005-0000-0000-00006E010000}"/>
    <cellStyle name="Финансовый 8" xfId="368" xr:uid="{00000000-0005-0000-0000-00006F010000}"/>
    <cellStyle name="Финансовый 9" xfId="369" xr:uid="{00000000-0005-0000-0000-000070010000}"/>
    <cellStyle name="Формула" xfId="370" xr:uid="{00000000-0005-0000-0000-000071010000}"/>
    <cellStyle name="ФормулаВБ" xfId="7" xr:uid="{00000000-0005-0000-0000-000074010000}"/>
    <cellStyle name="ФормулаНаКонтроль" xfId="371" xr:uid="{00000000-0005-0000-0000-000075010000}"/>
    <cellStyle name="Хороший 2" xfId="372" xr:uid="{00000000-0005-0000-0000-000076010000}"/>
    <cellStyle name="Хороший 2 2" xfId="373" xr:uid="{00000000-0005-0000-0000-000077010000}"/>
    <cellStyle name="Хороший 3" xfId="374" xr:uid="{00000000-0005-0000-0000-000078010000}"/>
    <cellStyle name="Џђћ–…ќ’ќ›‰" xfId="375" xr:uid="{00000000-0005-0000-0000-000079010000}"/>
    <cellStyle name="㼿㼿" xfId="376" xr:uid="{00000000-0005-0000-0000-00007A010000}"/>
    <cellStyle name="㼿㼿?" xfId="377" xr:uid="{00000000-0005-0000-0000-00007B010000}"/>
    <cellStyle name="㼿㼿_Укрупненный расчет  Варнав._3" xfId="378" xr:uid="{00000000-0005-0000-0000-00007C010000}"/>
    <cellStyle name="㼿㼿㼿" xfId="379" xr:uid="{00000000-0005-0000-0000-00007D010000}"/>
    <cellStyle name="㼿㼿㼿?" xfId="380" xr:uid="{00000000-0005-0000-0000-00007E010000}"/>
    <cellStyle name="㼿㼿㼿_Укрупненный расчет  Варнав._6" xfId="381" xr:uid="{00000000-0005-0000-0000-00007F010000}"/>
    <cellStyle name="㼿㼿㼿㼿" xfId="382" xr:uid="{00000000-0005-0000-0000-000080010000}"/>
    <cellStyle name="㼿㼿㼿㼿?" xfId="383" xr:uid="{00000000-0005-0000-0000-000081010000}"/>
    <cellStyle name="㼿㼿㼿㼿_Укрупненный расчет  Варнав._5" xfId="384" xr:uid="{00000000-0005-0000-0000-000082010000}"/>
    <cellStyle name="㼿㼿㼿㼿㼿" xfId="385" xr:uid="{00000000-0005-0000-0000-000083010000}"/>
    <cellStyle name="㼿㼿㼿㼿㼿?" xfId="386" xr:uid="{00000000-0005-0000-0000-000084010000}"/>
    <cellStyle name="㼿㼿㼿㼿㼿_Укрупненный расчет  Варнав." xfId="387" xr:uid="{00000000-0005-0000-0000-000085010000}"/>
    <cellStyle name="㼿㼿㼿㼿㼿㼿?" xfId="388" xr:uid="{00000000-0005-0000-0000-000086010000}"/>
    <cellStyle name="㼿㼿㼿㼿㼿㼿㼿㼿" xfId="389" xr:uid="{00000000-0005-0000-0000-000087010000}"/>
    <cellStyle name="㼿㼿㼿㼿㼿㼿㼿㼿㼿" xfId="390" xr:uid="{00000000-0005-0000-0000-000088010000}"/>
    <cellStyle name="㼿㼿㼿㼿㼿㼿㼿㼿㼿㼿" xfId="391" xr:uid="{00000000-0005-0000-0000-000089010000}"/>
  </cellStyles>
  <dxfs count="0"/>
  <tableStyles count="0" defaultTableStyle="TableStyleMedium2" defaultPivotStyle="PivotStyleLight16"/>
  <colors>
    <mruColors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\&#1087;&#1072;&#1087;&#1082;&#1072;%20&#1086;&#1073;&#1084;&#1077;&#1085;&#1072;\Users\&#1057;&#1077;&#1076;&#1072;&#1096;&#1082;&#1080;&#1085;&#1072;&#1043;&#1057;\Documents\&#1054;&#1090;&#1082;&#1088;&#1099;&#1090;&#1080;&#1077;%20&#1076;&#1077;&#1083;&#1072;\&#1073;&#1077;&#1085;&#1095;\BENCH.TSO.2015(v1.0)%20&#1088;&#1072;&#1073;&#1086;&#1095;&#1080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ТСО 0"/>
      <sheetName val="ТСО 1"/>
      <sheetName val="ТСО 2"/>
      <sheetName val="ТСО 3"/>
      <sheetName val="ТСО 4"/>
      <sheetName val="ТСО 5"/>
      <sheetName val="ТСО 6"/>
      <sheetName val="ТСО 7"/>
      <sheetName val="ТСО 8"/>
      <sheetName val="ТСО 9"/>
      <sheetName val="ТСО 10"/>
      <sheetName val="ТСО 11"/>
      <sheetName val="ТСО 12"/>
      <sheetName val="ТСО 13"/>
      <sheetName val="ТСО 14"/>
      <sheetName val="ТСО 15"/>
      <sheetName val="ТСО 16"/>
      <sheetName val="ТСО 17"/>
      <sheetName val="ТСО 18"/>
      <sheetName val="ТСО 19"/>
      <sheetName val="ТСО 20"/>
      <sheetName val="ТСО 21"/>
      <sheetName val="ТСО 22"/>
      <sheetName val="ТСО 23"/>
      <sheetName val="ТСО 24"/>
      <sheetName val="ТСО 25"/>
      <sheetName val="ТСО 26"/>
      <sheetName val="ТСО 27"/>
      <sheetName val="ТСО 28"/>
      <sheetName val="ТСО 29"/>
      <sheetName val="ТСО 30"/>
      <sheetName val="ТСО 31"/>
      <sheetName val="ТСО 32"/>
      <sheetName val="ТСО 33"/>
      <sheetName val="ТСО 34"/>
      <sheetName val="ТСО 35"/>
      <sheetName val="ТСО 36"/>
      <sheetName val="ТСО 37"/>
      <sheetName val="Комментарий"/>
      <sheetName val="Проверка"/>
      <sheetName val="et_union"/>
      <sheetName val="TEHSHEET"/>
      <sheetName val="modProv"/>
      <sheetName val="modLoad"/>
      <sheetName val="AllSheetsInThisWorkbook"/>
      <sheetName val="modInstruction"/>
      <sheetName val="modfrmReestr"/>
      <sheetName val="modReestr"/>
      <sheetName val="modUpdTemplMain"/>
      <sheetName val="modfrmCheckUpdates"/>
      <sheetName val="REESTR_ORG"/>
      <sheetName val="modHyp"/>
      <sheetName val="modList01"/>
      <sheetName val="modList02"/>
    </sheetNames>
    <sheetDataSet>
      <sheetData sheetId="0"/>
      <sheetData sheetId="1"/>
      <sheetData sheetId="2">
        <row r="6">
          <cell r="E6" t="str">
            <v>Кемеровская область</v>
          </cell>
        </row>
      </sheetData>
      <sheetData sheetId="3">
        <row r="14">
          <cell r="D14" t="str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0"/>
  <dimension ref="A1:R38"/>
  <sheetViews>
    <sheetView tabSelected="1" zoomScale="75" zoomScaleNormal="75" zoomScaleSheetLayoutView="75" workbookViewId="0">
      <selection activeCell="Q25" sqref="Q25"/>
    </sheetView>
  </sheetViews>
  <sheetFormatPr defaultColWidth="9.140625" defaultRowHeight="15"/>
  <cols>
    <col min="1" max="1" width="6.42578125" style="5" customWidth="1"/>
    <col min="2" max="2" width="37.7109375" style="6" customWidth="1"/>
    <col min="3" max="3" width="10" style="5" customWidth="1"/>
    <col min="4" max="4" width="12.7109375" style="7" customWidth="1"/>
    <col min="5" max="5" width="13.85546875" style="7" customWidth="1"/>
    <col min="6" max="6" width="12.7109375" style="7" customWidth="1"/>
    <col min="7" max="7" width="12" style="7" customWidth="1"/>
    <col min="8" max="8" width="9.85546875" style="7" customWidth="1"/>
    <col min="9" max="9" width="13.42578125" style="7" customWidth="1"/>
    <col min="10" max="10" width="13.28515625" style="7" customWidth="1"/>
    <col min="11" max="11" width="12.7109375" style="7" customWidth="1"/>
    <col min="12" max="12" width="12" style="7" customWidth="1"/>
    <col min="13" max="13" width="7.140625" style="7" customWidth="1"/>
    <col min="14" max="14" width="15.85546875" style="7" customWidth="1"/>
    <col min="15" max="15" width="13.28515625" style="7" customWidth="1"/>
    <col min="16" max="16" width="12.7109375" style="7" customWidth="1"/>
    <col min="17" max="17" width="12" style="7" customWidth="1"/>
    <col min="18" max="18" width="7.28515625" style="7" customWidth="1"/>
    <col min="19" max="16384" width="9.140625" style="6"/>
  </cols>
  <sheetData>
    <row r="1" spans="1:18" ht="20.25">
      <c r="B1" s="149" t="s">
        <v>285</v>
      </c>
    </row>
    <row r="2" spans="1:18" s="4" customFormat="1" ht="15.75">
      <c r="A2" s="188" t="s">
        <v>28</v>
      </c>
      <c r="B2" s="188"/>
      <c r="C2" s="188"/>
      <c r="D2" s="189"/>
      <c r="E2" s="3"/>
      <c r="F2" s="3"/>
      <c r="G2" s="3" t="s">
        <v>250</v>
      </c>
      <c r="H2" s="3"/>
      <c r="J2" s="3"/>
      <c r="K2" s="3"/>
      <c r="L2" s="3" t="s">
        <v>250</v>
      </c>
      <c r="M2" s="3"/>
      <c r="O2" s="3"/>
      <c r="P2" s="3"/>
      <c r="Q2" s="3" t="s">
        <v>250</v>
      </c>
    </row>
    <row r="3" spans="1:18" ht="15.75" thickBot="1"/>
    <row r="4" spans="1:18" ht="12.75" customHeight="1">
      <c r="A4" s="190" t="s">
        <v>29</v>
      </c>
      <c r="B4" s="192" t="s">
        <v>30</v>
      </c>
      <c r="C4" s="194" t="s">
        <v>31</v>
      </c>
      <c r="D4" s="185" t="s">
        <v>277</v>
      </c>
      <c r="E4" s="186"/>
      <c r="F4" s="186"/>
      <c r="G4" s="186"/>
      <c r="H4" s="187"/>
      <c r="I4" s="185" t="s">
        <v>278</v>
      </c>
      <c r="J4" s="186"/>
      <c r="K4" s="186"/>
      <c r="L4" s="186"/>
      <c r="M4" s="187"/>
      <c r="N4" s="185" t="s">
        <v>279</v>
      </c>
      <c r="O4" s="186"/>
      <c r="P4" s="186"/>
      <c r="Q4" s="186"/>
      <c r="R4" s="187"/>
    </row>
    <row r="5" spans="1:18" s="5" customFormat="1">
      <c r="A5" s="191"/>
      <c r="B5" s="193"/>
      <c r="C5" s="195"/>
      <c r="D5" s="8" t="s">
        <v>0</v>
      </c>
      <c r="E5" s="9" t="s">
        <v>6</v>
      </c>
      <c r="F5" s="9" t="s">
        <v>7</v>
      </c>
      <c r="G5" s="9" t="s">
        <v>8</v>
      </c>
      <c r="H5" s="10" t="s">
        <v>9</v>
      </c>
      <c r="I5" s="8" t="s">
        <v>0</v>
      </c>
      <c r="J5" s="9" t="s">
        <v>6</v>
      </c>
      <c r="K5" s="9" t="s">
        <v>7</v>
      </c>
      <c r="L5" s="9" t="s">
        <v>8</v>
      </c>
      <c r="M5" s="10" t="s">
        <v>9</v>
      </c>
      <c r="N5" s="8" t="s">
        <v>0</v>
      </c>
      <c r="O5" s="9" t="s">
        <v>6</v>
      </c>
      <c r="P5" s="9" t="s">
        <v>7</v>
      </c>
      <c r="Q5" s="9" t="s">
        <v>8</v>
      </c>
      <c r="R5" s="10" t="s">
        <v>9</v>
      </c>
    </row>
    <row r="6" spans="1:18" s="5" customFormat="1" ht="15.75" thickBot="1">
      <c r="A6" s="11">
        <v>1</v>
      </c>
      <c r="B6" s="12">
        <v>2</v>
      </c>
      <c r="C6" s="196"/>
      <c r="D6" s="13">
        <f>1</f>
        <v>1</v>
      </c>
      <c r="E6" s="14">
        <f>D6+1</f>
        <v>2</v>
      </c>
      <c r="F6" s="14">
        <f>E6+1</f>
        <v>3</v>
      </c>
      <c r="G6" s="14">
        <f>F6+1</f>
        <v>4</v>
      </c>
      <c r="H6" s="15">
        <f>G6+1</f>
        <v>5</v>
      </c>
      <c r="I6" s="13">
        <f>1</f>
        <v>1</v>
      </c>
      <c r="J6" s="14">
        <f>I6+1</f>
        <v>2</v>
      </c>
      <c r="K6" s="14">
        <f>J6+1</f>
        <v>3</v>
      </c>
      <c r="L6" s="14">
        <f>K6+1</f>
        <v>4</v>
      </c>
      <c r="M6" s="15">
        <f>L6+1</f>
        <v>5</v>
      </c>
      <c r="N6" s="13">
        <f>1</f>
        <v>1</v>
      </c>
      <c r="O6" s="14">
        <f>N6+1</f>
        <v>2</v>
      </c>
      <c r="P6" s="14">
        <f>O6+1</f>
        <v>3</v>
      </c>
      <c r="Q6" s="14">
        <f>P6+1</f>
        <v>4</v>
      </c>
      <c r="R6" s="15">
        <f>Q6+1</f>
        <v>5</v>
      </c>
    </row>
    <row r="7" spans="1:18" s="4" customFormat="1" ht="21" customHeight="1">
      <c r="A7" s="118" t="s">
        <v>15</v>
      </c>
      <c r="B7" s="119" t="s">
        <v>32</v>
      </c>
      <c r="C7" s="120" t="s">
        <v>33</v>
      </c>
      <c r="D7" s="105">
        <f>D16</f>
        <v>321354.859</v>
      </c>
      <c r="E7" s="106">
        <f>E16</f>
        <v>276911.51</v>
      </c>
      <c r="F7" s="106">
        <f>SUM(F11:F16)</f>
        <v>216110.00799999997</v>
      </c>
      <c r="G7" s="106">
        <f>SUM(G11:G16)</f>
        <v>24926.444999999982</v>
      </c>
      <c r="H7" s="171">
        <f>SUM(H13,H16)</f>
        <v>32.677999999983427</v>
      </c>
      <c r="I7" s="105">
        <f>I16</f>
        <v>313696.35400000005</v>
      </c>
      <c r="J7" s="106">
        <f>J16</f>
        <v>272285.41200000001</v>
      </c>
      <c r="K7" s="106">
        <f>SUM(K11:K16)</f>
        <v>209800.64699999997</v>
      </c>
      <c r="L7" s="106">
        <f>SUM(L11:L16)</f>
        <v>22918.868999999973</v>
      </c>
      <c r="M7" s="171">
        <f>SUM(M13,M16)</f>
        <v>35.818999999971538</v>
      </c>
      <c r="N7" s="147">
        <f>N16</f>
        <v>635051.21300000011</v>
      </c>
      <c r="O7" s="106">
        <f>O16</f>
        <v>549196.92200000002</v>
      </c>
      <c r="P7" s="106">
        <f>SUM(P11:P16)</f>
        <v>425910.65499999997</v>
      </c>
      <c r="Q7" s="106">
        <f>SUM(Q11:Q16)</f>
        <v>47845.313999999955</v>
      </c>
      <c r="R7" s="171">
        <f>SUM(R13,R16)</f>
        <v>68.496999999954966</v>
      </c>
    </row>
    <row r="8" spans="1:18" s="4" customFormat="1">
      <c r="A8" s="121" t="s">
        <v>2</v>
      </c>
      <c r="B8" s="122" t="s">
        <v>34</v>
      </c>
      <c r="C8" s="123" t="s">
        <v>33</v>
      </c>
      <c r="D8" s="21"/>
      <c r="E8" s="107"/>
      <c r="F8" s="107">
        <f>F11</f>
        <v>173669.39699999997</v>
      </c>
      <c r="G8" s="107">
        <f>G12</f>
        <v>22923.70699999998</v>
      </c>
      <c r="H8" s="108">
        <f>H13</f>
        <v>32.677999999983427</v>
      </c>
      <c r="I8" s="21"/>
      <c r="J8" s="107"/>
      <c r="K8" s="107">
        <f>K11</f>
        <v>170183.75899999996</v>
      </c>
      <c r="L8" s="107">
        <f>L12</f>
        <v>21124.814999999973</v>
      </c>
      <c r="M8" s="108">
        <f>M13</f>
        <v>35.818999999971538</v>
      </c>
      <c r="N8" s="21"/>
      <c r="O8" s="107"/>
      <c r="P8" s="107">
        <f>P11</f>
        <v>343853.15599999996</v>
      </c>
      <c r="Q8" s="107">
        <f>Q12</f>
        <v>44048.521999999954</v>
      </c>
      <c r="R8" s="108">
        <f>R13</f>
        <v>68.496999999954966</v>
      </c>
    </row>
    <row r="9" spans="1:18">
      <c r="A9" s="121"/>
      <c r="B9" s="122" t="s">
        <v>35</v>
      </c>
      <c r="C9" s="124"/>
      <c r="D9" s="16"/>
      <c r="E9" s="17"/>
      <c r="F9" s="17"/>
      <c r="G9" s="17"/>
      <c r="H9" s="18"/>
      <c r="I9" s="16"/>
      <c r="J9" s="17"/>
      <c r="K9" s="17"/>
      <c r="L9" s="17"/>
      <c r="M9" s="18"/>
      <c r="N9" s="16"/>
      <c r="O9" s="17"/>
      <c r="P9" s="17"/>
      <c r="Q9" s="17"/>
      <c r="R9" s="18"/>
    </row>
    <row r="10" spans="1:18">
      <c r="A10" s="121"/>
      <c r="B10" s="122" t="s">
        <v>36</v>
      </c>
      <c r="C10" s="123" t="s">
        <v>37</v>
      </c>
      <c r="D10" s="16"/>
      <c r="E10" s="19"/>
      <c r="F10" s="19"/>
      <c r="G10" s="19"/>
      <c r="H10" s="20"/>
      <c r="I10" s="16"/>
      <c r="J10" s="19"/>
      <c r="K10" s="19"/>
      <c r="L10" s="19"/>
      <c r="M10" s="20"/>
      <c r="N10" s="16"/>
      <c r="O10" s="19"/>
      <c r="P10" s="19"/>
      <c r="Q10" s="19"/>
      <c r="R10" s="20"/>
    </row>
    <row r="11" spans="1:18">
      <c r="A11" s="121"/>
      <c r="B11" s="122" t="s">
        <v>6</v>
      </c>
      <c r="C11" s="123" t="s">
        <v>33</v>
      </c>
      <c r="D11" s="16"/>
      <c r="E11" s="17"/>
      <c r="F11" s="19">
        <f>E16-E22-E29-E33-E35</f>
        <v>173669.39699999997</v>
      </c>
      <c r="G11" s="19"/>
      <c r="H11" s="20"/>
      <c r="I11" s="16"/>
      <c r="J11" s="17"/>
      <c r="K11" s="19">
        <f>J16-J22-J29-J33-J35</f>
        <v>170183.75899999996</v>
      </c>
      <c r="L11" s="19"/>
      <c r="M11" s="20"/>
      <c r="N11" s="16"/>
      <c r="O11" s="17"/>
      <c r="P11" s="19">
        <f>F11+K11</f>
        <v>343853.15599999996</v>
      </c>
      <c r="Q11" s="19"/>
      <c r="R11" s="20"/>
    </row>
    <row r="12" spans="1:18">
      <c r="A12" s="121"/>
      <c r="B12" s="122" t="s">
        <v>7</v>
      </c>
      <c r="C12" s="123" t="s">
        <v>33</v>
      </c>
      <c r="D12" s="16"/>
      <c r="E12" s="17"/>
      <c r="F12" s="17"/>
      <c r="G12" s="19">
        <f>F7-F22-F33-F35</f>
        <v>22923.70699999998</v>
      </c>
      <c r="H12" s="20"/>
      <c r="I12" s="16"/>
      <c r="J12" s="17"/>
      <c r="K12" s="17"/>
      <c r="L12" s="19">
        <f>K7-K22-K33-K35</f>
        <v>21124.814999999973</v>
      </c>
      <c r="M12" s="20"/>
      <c r="N12" s="16"/>
      <c r="O12" s="17"/>
      <c r="P12" s="17"/>
      <c r="Q12" s="19">
        <f>G12+L12</f>
        <v>44048.521999999954</v>
      </c>
      <c r="R12" s="20"/>
    </row>
    <row r="13" spans="1:18">
      <c r="A13" s="121"/>
      <c r="B13" s="122" t="s">
        <v>8</v>
      </c>
      <c r="C13" s="123" t="s">
        <v>33</v>
      </c>
      <c r="D13" s="16"/>
      <c r="E13" s="17"/>
      <c r="F13" s="17"/>
      <c r="G13" s="17"/>
      <c r="H13" s="20">
        <f>G7-G22-G33-G35-G29</f>
        <v>32.677999999983427</v>
      </c>
      <c r="I13" s="16"/>
      <c r="J13" s="17"/>
      <c r="K13" s="17"/>
      <c r="L13" s="17"/>
      <c r="M13" s="20">
        <f>L7-L22-L33-L35-L29</f>
        <v>35.818999999971538</v>
      </c>
      <c r="N13" s="16"/>
      <c r="O13" s="17"/>
      <c r="P13" s="17"/>
      <c r="Q13" s="17"/>
      <c r="R13" s="172">
        <f>H13+M13</f>
        <v>68.496999999954966</v>
      </c>
    </row>
    <row r="14" spans="1:18">
      <c r="A14" s="121" t="s">
        <v>3</v>
      </c>
      <c r="B14" s="122" t="s">
        <v>38</v>
      </c>
      <c r="C14" s="123" t="s">
        <v>33</v>
      </c>
      <c r="D14" s="21"/>
      <c r="E14" s="19"/>
      <c r="F14" s="19"/>
      <c r="G14" s="19"/>
      <c r="H14" s="20"/>
      <c r="I14" s="21"/>
      <c r="J14" s="19"/>
      <c r="K14" s="19"/>
      <c r="L14" s="19"/>
      <c r="M14" s="20"/>
      <c r="N14" s="21"/>
      <c r="O14" s="19"/>
      <c r="P14" s="19"/>
      <c r="Q14" s="19"/>
      <c r="R14" s="20"/>
    </row>
    <row r="15" spans="1:18">
      <c r="A15" s="121" t="s">
        <v>4</v>
      </c>
      <c r="B15" s="122" t="s">
        <v>39</v>
      </c>
      <c r="C15" s="123" t="s">
        <v>33</v>
      </c>
      <c r="D15" s="21"/>
      <c r="E15" s="19"/>
      <c r="F15" s="19"/>
      <c r="G15" s="19"/>
      <c r="H15" s="20"/>
      <c r="I15" s="21"/>
      <c r="J15" s="19"/>
      <c r="K15" s="19"/>
      <c r="L15" s="19"/>
      <c r="M15" s="20"/>
      <c r="N15" s="21"/>
      <c r="O15" s="19"/>
      <c r="P15" s="19"/>
      <c r="Q15" s="19"/>
      <c r="R15" s="20"/>
    </row>
    <row r="16" spans="1:18" ht="29.25" customHeight="1">
      <c r="A16" s="121" t="s">
        <v>5</v>
      </c>
      <c r="B16" s="122" t="s">
        <v>265</v>
      </c>
      <c r="C16" s="123" t="s">
        <v>33</v>
      </c>
      <c r="D16" s="21">
        <f>SUM(E16:G16)</f>
        <v>321354.859</v>
      </c>
      <c r="E16" s="19">
        <f>SUM(E17:E21)</f>
        <v>276911.51</v>
      </c>
      <c r="F16" s="19">
        <f t="shared" ref="F16:G16" si="0">SUM(F18:F21)</f>
        <v>42440.610999999997</v>
      </c>
      <c r="G16" s="19">
        <f t="shared" si="0"/>
        <v>2002.7380000000001</v>
      </c>
      <c r="H16" s="20"/>
      <c r="I16" s="21">
        <f>SUM(J16:L16)</f>
        <v>313696.35400000005</v>
      </c>
      <c r="J16" s="19">
        <f>SUM(J17:J21)</f>
        <v>272285.41200000001</v>
      </c>
      <c r="K16" s="19">
        <f t="shared" ref="K16:L16" si="1">SUM(K18:K21)</f>
        <v>39616.888000000006</v>
      </c>
      <c r="L16" s="19">
        <f t="shared" si="1"/>
        <v>1794.0540000000001</v>
      </c>
      <c r="M16" s="20"/>
      <c r="N16" s="21">
        <f>O16+P16+Q16</f>
        <v>635051.21300000011</v>
      </c>
      <c r="O16" s="19">
        <f t="shared" ref="O16:Q22" si="2">E16+J16</f>
        <v>549196.92200000002</v>
      </c>
      <c r="P16" s="19">
        <f t="shared" si="2"/>
        <v>82057.499000000011</v>
      </c>
      <c r="Q16" s="19">
        <f t="shared" si="2"/>
        <v>3796.7920000000004</v>
      </c>
      <c r="R16" s="20"/>
    </row>
    <row r="17" spans="1:18" ht="16.5" customHeight="1">
      <c r="A17" s="121" t="s">
        <v>259</v>
      </c>
      <c r="B17" s="158" t="s">
        <v>280</v>
      </c>
      <c r="C17" s="123" t="s">
        <v>33</v>
      </c>
      <c r="D17" s="21">
        <f t="shared" ref="D17:D21" si="3">SUM(E17:G17)</f>
        <v>22647.061000000002</v>
      </c>
      <c r="E17" s="19">
        <v>22647.061000000002</v>
      </c>
      <c r="F17" s="19"/>
      <c r="G17" s="19"/>
      <c r="H17" s="20"/>
      <c r="I17" s="21">
        <f t="shared" ref="I17:I21" si="4">SUM(J17:L17)</f>
        <v>20529.151999999998</v>
      </c>
      <c r="J17" s="19">
        <v>20529.151999999998</v>
      </c>
      <c r="K17" s="19"/>
      <c r="L17" s="19"/>
      <c r="M17" s="20"/>
      <c r="N17" s="21">
        <f t="shared" ref="N17:N21" si="5">O17+P17+Q17</f>
        <v>43176.213000000003</v>
      </c>
      <c r="O17" s="19">
        <f t="shared" si="2"/>
        <v>43176.213000000003</v>
      </c>
      <c r="P17" s="19"/>
      <c r="Q17" s="19"/>
      <c r="R17" s="20"/>
    </row>
    <row r="18" spans="1:18" ht="18" customHeight="1">
      <c r="A18" s="121" t="s">
        <v>260</v>
      </c>
      <c r="B18" s="157" t="s">
        <v>270</v>
      </c>
      <c r="C18" s="123" t="s">
        <v>33</v>
      </c>
      <c r="D18" s="21">
        <f t="shared" si="3"/>
        <v>262767.016</v>
      </c>
      <c r="E18" s="19">
        <v>219080.83900000001</v>
      </c>
      <c r="F18" s="19">
        <v>42112.813999999998</v>
      </c>
      <c r="G18" s="19">
        <v>1573.3630000000001</v>
      </c>
      <c r="H18" s="20"/>
      <c r="I18" s="21">
        <f t="shared" si="4"/>
        <v>257635.39599999998</v>
      </c>
      <c r="J18" s="19">
        <v>216860.416</v>
      </c>
      <c r="K18" s="19">
        <v>39344.156000000003</v>
      </c>
      <c r="L18" s="19">
        <v>1430.8240000000001</v>
      </c>
      <c r="M18" s="20"/>
      <c r="N18" s="21">
        <f t="shared" si="5"/>
        <v>520402.41199999995</v>
      </c>
      <c r="O18" s="19">
        <f t="shared" si="2"/>
        <v>435941.255</v>
      </c>
      <c r="P18" s="19">
        <f t="shared" ref="P18:P20" si="6">F18+K18</f>
        <v>81456.97</v>
      </c>
      <c r="Q18" s="19">
        <f t="shared" ref="Q18" si="7">G18+L18</f>
        <v>3004.1869999999999</v>
      </c>
      <c r="R18" s="20"/>
    </row>
    <row r="19" spans="1:18" ht="14.25" customHeight="1">
      <c r="A19" s="121" t="s">
        <v>261</v>
      </c>
      <c r="B19" s="122" t="s">
        <v>253</v>
      </c>
      <c r="C19" s="123" t="s">
        <v>33</v>
      </c>
      <c r="D19" s="21">
        <f t="shared" si="3"/>
        <v>35183.61</v>
      </c>
      <c r="E19" s="19">
        <v>35183.61</v>
      </c>
      <c r="F19" s="19"/>
      <c r="G19" s="19"/>
      <c r="H19" s="20"/>
      <c r="I19" s="21">
        <f t="shared" si="4"/>
        <v>34895.843999999997</v>
      </c>
      <c r="J19" s="19">
        <v>34895.843999999997</v>
      </c>
      <c r="K19" s="19"/>
      <c r="L19" s="19"/>
      <c r="M19" s="20"/>
      <c r="N19" s="21">
        <f t="shared" si="5"/>
        <v>70079.453999999998</v>
      </c>
      <c r="O19" s="19">
        <f t="shared" si="2"/>
        <v>70079.453999999998</v>
      </c>
      <c r="P19" s="19"/>
      <c r="Q19" s="19"/>
      <c r="R19" s="20"/>
    </row>
    <row r="20" spans="1:18" ht="16.5" customHeight="1">
      <c r="A20" s="121" t="s">
        <v>262</v>
      </c>
      <c r="B20" s="122" t="s">
        <v>237</v>
      </c>
      <c r="C20" s="123" t="s">
        <v>33</v>
      </c>
      <c r="D20" s="21">
        <f t="shared" si="3"/>
        <v>327.79700000000003</v>
      </c>
      <c r="E20" s="19"/>
      <c r="F20" s="19">
        <v>327.79700000000003</v>
      </c>
      <c r="G20" s="19"/>
      <c r="H20" s="20"/>
      <c r="I20" s="21">
        <f t="shared" si="4"/>
        <v>272.73200000000003</v>
      </c>
      <c r="J20" s="19"/>
      <c r="K20" s="19">
        <v>272.73200000000003</v>
      </c>
      <c r="L20" s="19"/>
      <c r="M20" s="20"/>
      <c r="N20" s="21">
        <f t="shared" si="5"/>
        <v>600.529</v>
      </c>
      <c r="O20" s="19"/>
      <c r="P20" s="19">
        <f t="shared" si="6"/>
        <v>600.529</v>
      </c>
      <c r="Q20" s="19"/>
      <c r="R20" s="20"/>
    </row>
    <row r="21" spans="1:18" ht="15" customHeight="1">
      <c r="A21" s="121" t="s">
        <v>263</v>
      </c>
      <c r="B21" s="122" t="s">
        <v>264</v>
      </c>
      <c r="C21" s="123" t="s">
        <v>33</v>
      </c>
      <c r="D21" s="21">
        <f t="shared" si="3"/>
        <v>429.375</v>
      </c>
      <c r="E21" s="19"/>
      <c r="F21" s="19"/>
      <c r="G21" s="19">
        <v>429.375</v>
      </c>
      <c r="H21" s="20"/>
      <c r="I21" s="21">
        <f t="shared" si="4"/>
        <v>363.23</v>
      </c>
      <c r="J21" s="19"/>
      <c r="K21" s="19"/>
      <c r="L21" s="19">
        <v>363.23</v>
      </c>
      <c r="M21" s="20"/>
      <c r="N21" s="21">
        <f t="shared" si="5"/>
        <v>792.60500000000002</v>
      </c>
      <c r="O21" s="19"/>
      <c r="P21" s="19"/>
      <c r="Q21" s="19">
        <f t="shared" ref="Q21" si="8">G21+L21</f>
        <v>792.60500000000002</v>
      </c>
      <c r="R21" s="20"/>
    </row>
    <row r="22" spans="1:18" s="4" customFormat="1">
      <c r="A22" s="121" t="s">
        <v>19</v>
      </c>
      <c r="B22" s="122" t="s">
        <v>40</v>
      </c>
      <c r="C22" s="123" t="s">
        <v>33</v>
      </c>
      <c r="D22" s="21">
        <f>SUM(E22:G22)</f>
        <v>6557.8719999999994</v>
      </c>
      <c r="E22" s="107">
        <f>E26</f>
        <v>3491.6010000000001</v>
      </c>
      <c r="F22" s="107">
        <f t="shared" ref="F22:G22" si="9">F26</f>
        <v>2883.826</v>
      </c>
      <c r="G22" s="107">
        <f t="shared" si="9"/>
        <v>182.44499999999999</v>
      </c>
      <c r="H22" s="108"/>
      <c r="I22" s="21">
        <f>SUM(J22:L22)</f>
        <v>6568.4319999999998</v>
      </c>
      <c r="J22" s="107">
        <f>J26</f>
        <v>3732.9919999999997</v>
      </c>
      <c r="K22" s="107">
        <f t="shared" ref="K22:L22" si="10">K26</f>
        <v>2704.422</v>
      </c>
      <c r="L22" s="107">
        <f t="shared" si="10"/>
        <v>131.018</v>
      </c>
      <c r="M22" s="108"/>
      <c r="N22" s="21">
        <f>O22+P22+Q22</f>
        <v>13126.304</v>
      </c>
      <c r="O22" s="107">
        <f t="shared" si="2"/>
        <v>7224.5929999999998</v>
      </c>
      <c r="P22" s="107">
        <f t="shared" si="2"/>
        <v>5588.2479999999996</v>
      </c>
      <c r="Q22" s="107">
        <f t="shared" si="2"/>
        <v>313.46299999999997</v>
      </c>
      <c r="R22" s="108"/>
    </row>
    <row r="23" spans="1:18" s="4" customFormat="1">
      <c r="A23" s="121"/>
      <c r="B23" s="122" t="s">
        <v>41</v>
      </c>
      <c r="C23" s="123" t="s">
        <v>1</v>
      </c>
      <c r="D23" s="151">
        <f>D22/D16*100</f>
        <v>2.0406948320019023</v>
      </c>
      <c r="E23" s="152">
        <f>E22/E7*100</f>
        <v>1.2609085841177206</v>
      </c>
      <c r="F23" s="152">
        <f t="shared" ref="F23:G23" si="11">F22/F7*100</f>
        <v>1.3344250119133771</v>
      </c>
      <c r="G23" s="152">
        <f t="shared" si="11"/>
        <v>0.7319334947281898</v>
      </c>
      <c r="H23" s="153"/>
      <c r="I23" s="151">
        <f>I22/I16*100</f>
        <v>2.0938821622389652</v>
      </c>
      <c r="J23" s="152">
        <f>J22/J7*100</f>
        <v>1.3709849428143435</v>
      </c>
      <c r="K23" s="152">
        <f t="shared" ref="K23" si="12">K22/K7*100</f>
        <v>1.2890436891741333</v>
      </c>
      <c r="L23" s="152">
        <f t="shared" ref="L23" si="13">L22/L7*100</f>
        <v>0.5716599715282642</v>
      </c>
      <c r="M23" s="153"/>
      <c r="N23" s="151">
        <f>N22/N16*100</f>
        <v>2.0669677864232341</v>
      </c>
      <c r="O23" s="152">
        <f>O22/O7*100</f>
        <v>1.3154831556029734</v>
      </c>
      <c r="P23" s="152">
        <f t="shared" ref="P23" si="14">P22/P7*100</f>
        <v>1.3120704857688992</v>
      </c>
      <c r="Q23" s="152">
        <f t="shared" ref="Q23" si="15">Q22/Q7*100</f>
        <v>0.65515924924225655</v>
      </c>
      <c r="R23" s="108"/>
    </row>
    <row r="24" spans="1:18" s="4" customFormat="1" ht="28.5" customHeight="1">
      <c r="A24" s="125" t="s">
        <v>42</v>
      </c>
      <c r="B24" s="122" t="s">
        <v>43</v>
      </c>
      <c r="C24" s="123" t="s">
        <v>33</v>
      </c>
      <c r="D24" s="21"/>
      <c r="E24" s="107"/>
      <c r="F24" s="107"/>
      <c r="G24" s="107"/>
      <c r="H24" s="108"/>
      <c r="I24" s="21"/>
      <c r="J24" s="107"/>
      <c r="K24" s="107"/>
      <c r="L24" s="107"/>
      <c r="M24" s="108"/>
      <c r="N24" s="21"/>
      <c r="O24" s="107"/>
      <c r="P24" s="107"/>
      <c r="Q24" s="107"/>
      <c r="R24" s="108"/>
    </row>
    <row r="25" spans="1:18" s="4" customFormat="1" ht="31.5" customHeight="1">
      <c r="A25" s="125" t="s">
        <v>44</v>
      </c>
      <c r="B25" s="122" t="s">
        <v>45</v>
      </c>
      <c r="C25" s="123" t="s">
        <v>33</v>
      </c>
      <c r="D25" s="21"/>
      <c r="E25" s="19"/>
      <c r="F25" s="19"/>
      <c r="G25" s="19"/>
      <c r="H25" s="20"/>
      <c r="I25" s="21"/>
      <c r="J25" s="19"/>
      <c r="K25" s="19"/>
      <c r="L25" s="19"/>
      <c r="M25" s="20"/>
      <c r="N25" s="21"/>
      <c r="O25" s="19"/>
      <c r="P25" s="19"/>
      <c r="Q25" s="19"/>
      <c r="R25" s="20"/>
    </row>
    <row r="26" spans="1:18" s="4" customFormat="1" ht="30">
      <c r="A26" s="125" t="s">
        <v>46</v>
      </c>
      <c r="B26" s="122" t="s">
        <v>47</v>
      </c>
      <c r="C26" s="123" t="s">
        <v>33</v>
      </c>
      <c r="D26" s="21">
        <f>E26+F26+G26</f>
        <v>6557.8719999999994</v>
      </c>
      <c r="E26" s="19">
        <f>SUM(E27:E28)</f>
        <v>3491.6010000000001</v>
      </c>
      <c r="F26" s="19">
        <f t="shared" ref="F26:G26" si="16">SUM(F27:F28)</f>
        <v>2883.826</v>
      </c>
      <c r="G26" s="19">
        <f t="shared" si="16"/>
        <v>182.44499999999999</v>
      </c>
      <c r="H26" s="20"/>
      <c r="I26" s="21">
        <f>SUM(J26:L26)</f>
        <v>6568.4319999999998</v>
      </c>
      <c r="J26" s="19">
        <f>SUM(J27:J28)</f>
        <v>3732.9919999999997</v>
      </c>
      <c r="K26" s="19">
        <f t="shared" ref="K26" si="17">SUM(K27:K28)</f>
        <v>2704.422</v>
      </c>
      <c r="L26" s="19">
        <f t="shared" ref="L26" si="18">SUM(L27:L28)</f>
        <v>131.018</v>
      </c>
      <c r="M26" s="20"/>
      <c r="N26" s="21">
        <f>O26+P26+Q26</f>
        <v>13126.304</v>
      </c>
      <c r="O26" s="19">
        <f t="shared" ref="O26:O31" si="19">E26+J26</f>
        <v>7224.5929999999998</v>
      </c>
      <c r="P26" s="19">
        <f t="shared" ref="P26:P27" si="20">F26+K26</f>
        <v>5588.2479999999996</v>
      </c>
      <c r="Q26" s="19">
        <f t="shared" ref="Q26:Q27" si="21">G26+L26</f>
        <v>313.46299999999997</v>
      </c>
      <c r="R26" s="20"/>
    </row>
    <row r="27" spans="1:18" s="4" customFormat="1" ht="30">
      <c r="A27" s="125" t="s">
        <v>48</v>
      </c>
      <c r="B27" s="122" t="s">
        <v>229</v>
      </c>
      <c r="C27" s="123" t="s">
        <v>33</v>
      </c>
      <c r="D27" s="21">
        <f>E27+F27+G27</f>
        <v>6555.7219999999998</v>
      </c>
      <c r="E27" s="19">
        <v>3489.451</v>
      </c>
      <c r="F27" s="19">
        <v>2883.826</v>
      </c>
      <c r="G27" s="19">
        <v>182.44499999999999</v>
      </c>
      <c r="H27" s="20"/>
      <c r="I27" s="21">
        <f>SUM(J27:L27)</f>
        <v>6567.384</v>
      </c>
      <c r="J27" s="19">
        <v>3731.944</v>
      </c>
      <c r="K27" s="19">
        <v>2704.422</v>
      </c>
      <c r="L27" s="19">
        <v>131.018</v>
      </c>
      <c r="M27" s="20"/>
      <c r="N27" s="21">
        <f t="shared" ref="N27:N29" si="22">O27+P27+Q27</f>
        <v>13123.106</v>
      </c>
      <c r="O27" s="19">
        <f>E27+J27</f>
        <v>7221.3950000000004</v>
      </c>
      <c r="P27" s="19">
        <f t="shared" si="20"/>
        <v>5588.2479999999996</v>
      </c>
      <c r="Q27" s="19">
        <f t="shared" si="21"/>
        <v>313.46299999999997</v>
      </c>
      <c r="R27" s="20"/>
    </row>
    <row r="28" spans="1:18" s="4" customFormat="1" ht="30">
      <c r="A28" s="125" t="s">
        <v>271</v>
      </c>
      <c r="B28" s="122" t="s">
        <v>272</v>
      </c>
      <c r="C28" s="123" t="s">
        <v>33</v>
      </c>
      <c r="D28" s="21">
        <f>E28+F28+G28</f>
        <v>2.15</v>
      </c>
      <c r="E28" s="19">
        <v>2.15</v>
      </c>
      <c r="F28" s="19"/>
      <c r="G28" s="19"/>
      <c r="H28" s="20"/>
      <c r="I28" s="21">
        <f>SUM(J28:L28)</f>
        <v>1.048</v>
      </c>
      <c r="J28" s="19">
        <v>1.048</v>
      </c>
      <c r="K28" s="19"/>
      <c r="L28" s="19"/>
      <c r="M28" s="20"/>
      <c r="N28" s="21">
        <f t="shared" ref="N28" si="23">O28+P28+Q28</f>
        <v>3.198</v>
      </c>
      <c r="O28" s="19">
        <f t="shared" si="19"/>
        <v>3.198</v>
      </c>
      <c r="P28" s="19"/>
      <c r="Q28" s="19"/>
      <c r="R28" s="20"/>
    </row>
    <row r="29" spans="1:18" s="4" customFormat="1" ht="30">
      <c r="A29" s="121" t="s">
        <v>21</v>
      </c>
      <c r="B29" s="122" t="s">
        <v>49</v>
      </c>
      <c r="C29" s="123" t="s">
        <v>33</v>
      </c>
      <c r="D29" s="21">
        <f>SUM(E29:G29)</f>
        <v>441.10399999999998</v>
      </c>
      <c r="E29" s="19">
        <v>265.06099999999998</v>
      </c>
      <c r="F29" s="19"/>
      <c r="G29" s="19">
        <v>176.04300000000001</v>
      </c>
      <c r="H29" s="20"/>
      <c r="I29" s="21">
        <f>J29+L29</f>
        <v>355.92399999999998</v>
      </c>
      <c r="J29" s="19">
        <v>186.95500000000001</v>
      </c>
      <c r="K29" s="19"/>
      <c r="L29" s="19">
        <v>168.96899999999999</v>
      </c>
      <c r="M29" s="20"/>
      <c r="N29" s="21">
        <f t="shared" si="22"/>
        <v>797.02800000000002</v>
      </c>
      <c r="O29" s="19">
        <f t="shared" si="19"/>
        <v>452.01599999999996</v>
      </c>
      <c r="P29" s="19"/>
      <c r="Q29" s="19">
        <f t="shared" ref="Q29:R31" si="24">G29+L29</f>
        <v>345.012</v>
      </c>
      <c r="R29" s="20"/>
    </row>
    <row r="30" spans="1:18">
      <c r="A30" s="121" t="s">
        <v>22</v>
      </c>
      <c r="B30" s="122" t="s">
        <v>50</v>
      </c>
      <c r="C30" s="123" t="s">
        <v>33</v>
      </c>
      <c r="D30" s="21">
        <f>SUM(E30:H30)</f>
        <v>314355.88299999997</v>
      </c>
      <c r="E30" s="107">
        <f>SUM(E33:E35)</f>
        <v>99485.451000000001</v>
      </c>
      <c r="F30" s="107">
        <f t="shared" ref="F30:H30" si="25">SUM(F33:F35)</f>
        <v>190302.47499999998</v>
      </c>
      <c r="G30" s="107">
        <f t="shared" si="25"/>
        <v>24535.278999999999</v>
      </c>
      <c r="H30" s="173">
        <f t="shared" si="25"/>
        <v>32.677999999999997</v>
      </c>
      <c r="I30" s="21">
        <f>SUM(J30:M30)</f>
        <v>306771.99800000002</v>
      </c>
      <c r="J30" s="107">
        <f>SUM(J33:J36)</f>
        <v>98181.705999999991</v>
      </c>
      <c r="K30" s="107">
        <f t="shared" ref="K30:M30" si="26">SUM(K33:K36)</f>
        <v>185971.41</v>
      </c>
      <c r="L30" s="107">
        <f t="shared" si="26"/>
        <v>22583.063000000002</v>
      </c>
      <c r="M30" s="173">
        <f t="shared" si="26"/>
        <v>35.819000000000003</v>
      </c>
      <c r="N30" s="21">
        <f>SUM(O30:R30)</f>
        <v>621127.88100000005</v>
      </c>
      <c r="O30" s="107">
        <f>E30+J30</f>
        <v>197667.15700000001</v>
      </c>
      <c r="P30" s="107">
        <f t="shared" ref="P30:P31" si="27">F30+K30</f>
        <v>376273.88500000001</v>
      </c>
      <c r="Q30" s="107">
        <f t="shared" si="24"/>
        <v>47118.342000000004</v>
      </c>
      <c r="R30" s="173">
        <f t="shared" si="24"/>
        <v>68.497</v>
      </c>
    </row>
    <row r="31" spans="1:18">
      <c r="A31" s="121" t="s">
        <v>10</v>
      </c>
      <c r="B31" s="122" t="s">
        <v>51</v>
      </c>
      <c r="C31" s="123" t="s">
        <v>33</v>
      </c>
      <c r="D31" s="21">
        <f>SUM(E31:H31)</f>
        <v>314355.88299999997</v>
      </c>
      <c r="E31" s="107">
        <f>'П1.6'!D46</f>
        <v>99485.451000000001</v>
      </c>
      <c r="F31" s="107">
        <f>'П1.6'!E46</f>
        <v>190302.47499999998</v>
      </c>
      <c r="G31" s="107">
        <f>'П1.6'!F46</f>
        <v>24535.278999999999</v>
      </c>
      <c r="H31" s="173">
        <f>'П1.6'!G46</f>
        <v>32.677999999999997</v>
      </c>
      <c r="I31" s="21">
        <f>SUM(J31:M31)</f>
        <v>306771.99800000008</v>
      </c>
      <c r="J31" s="107">
        <f>'П1.6'!D90</f>
        <v>98181.706000000006</v>
      </c>
      <c r="K31" s="107">
        <f>'П1.6'!E90</f>
        <v>185971.41</v>
      </c>
      <c r="L31" s="107">
        <f>'П1.6'!F90</f>
        <v>22583.063000000002</v>
      </c>
      <c r="M31" s="173">
        <f>'П1.6'!G90</f>
        <v>35.819000000000003</v>
      </c>
      <c r="N31" s="21">
        <f>SUM(O31:R31)</f>
        <v>621127.88100000005</v>
      </c>
      <c r="O31" s="107">
        <f t="shared" si="19"/>
        <v>197667.15700000001</v>
      </c>
      <c r="P31" s="107">
        <f t="shared" si="27"/>
        <v>376273.88500000001</v>
      </c>
      <c r="Q31" s="107">
        <f t="shared" si="24"/>
        <v>47118.342000000004</v>
      </c>
      <c r="R31" s="173">
        <f t="shared" si="24"/>
        <v>68.497</v>
      </c>
    </row>
    <row r="32" spans="1:18">
      <c r="A32" s="121"/>
      <c r="B32" s="122" t="s">
        <v>52</v>
      </c>
      <c r="C32" s="123" t="s">
        <v>33</v>
      </c>
      <c r="D32" s="16"/>
      <c r="E32" s="17"/>
      <c r="F32" s="17"/>
      <c r="G32" s="17"/>
      <c r="H32" s="18"/>
      <c r="I32" s="16"/>
      <c r="J32" s="17"/>
      <c r="K32" s="17"/>
      <c r="L32" s="17"/>
      <c r="M32" s="18"/>
      <c r="N32" s="146"/>
      <c r="O32" s="17"/>
      <c r="P32" s="17"/>
      <c r="Q32" s="17"/>
      <c r="R32" s="18"/>
    </row>
    <row r="33" spans="1:18" ht="36.75" customHeight="1">
      <c r="A33" s="121"/>
      <c r="B33" s="122" t="s">
        <v>53</v>
      </c>
      <c r="C33" s="123" t="s">
        <v>33</v>
      </c>
      <c r="D33" s="21">
        <f>SUM(E33:H33)</f>
        <v>271334.73700000002</v>
      </c>
      <c r="E33" s="19">
        <v>91050.96</v>
      </c>
      <c r="F33" s="19">
        <v>155970.48199999999</v>
      </c>
      <c r="G33" s="19">
        <v>24280.616999999998</v>
      </c>
      <c r="H33" s="20">
        <v>32.677999999999997</v>
      </c>
      <c r="I33" s="21">
        <f>SUM(J33:M33)</f>
        <v>265786.79300000001</v>
      </c>
      <c r="J33" s="19">
        <v>91607.350999999995</v>
      </c>
      <c r="K33" s="19">
        <v>151848.41800000001</v>
      </c>
      <c r="L33" s="19">
        <v>22295.205000000002</v>
      </c>
      <c r="M33" s="20">
        <v>35.819000000000003</v>
      </c>
      <c r="N33" s="21">
        <f>SUM(O33:R33)</f>
        <v>537121.53</v>
      </c>
      <c r="O33" s="19">
        <f t="shared" ref="O33:O35" si="28">E33+J33</f>
        <v>182658.31099999999</v>
      </c>
      <c r="P33" s="19">
        <f t="shared" ref="P33:P35" si="29">F33+K33</f>
        <v>307818.90000000002</v>
      </c>
      <c r="Q33" s="19">
        <f t="shared" ref="Q33:R35" si="30">G33+L33</f>
        <v>46575.822</v>
      </c>
      <c r="R33" s="172">
        <f t="shared" si="30"/>
        <v>68.497</v>
      </c>
    </row>
    <row r="34" spans="1:18" ht="45">
      <c r="A34" s="121"/>
      <c r="B34" s="122" t="s">
        <v>54</v>
      </c>
      <c r="C34" s="123" t="s">
        <v>33</v>
      </c>
      <c r="D34" s="21"/>
      <c r="E34" s="19"/>
      <c r="F34" s="19"/>
      <c r="G34" s="19"/>
      <c r="H34" s="20"/>
      <c r="I34" s="21"/>
      <c r="J34" s="19"/>
      <c r="K34" s="19"/>
      <c r="L34" s="19"/>
      <c r="M34" s="20"/>
      <c r="N34" s="21"/>
      <c r="O34" s="19"/>
      <c r="P34" s="19"/>
      <c r="Q34" s="19"/>
      <c r="R34" s="20"/>
    </row>
    <row r="35" spans="1:18" ht="30">
      <c r="A35" s="126" t="s">
        <v>11</v>
      </c>
      <c r="B35" s="122" t="s">
        <v>55</v>
      </c>
      <c r="C35" s="123" t="s">
        <v>33</v>
      </c>
      <c r="D35" s="21">
        <f>SUM(E35:G35)</f>
        <v>43021.146000000001</v>
      </c>
      <c r="E35" s="19">
        <v>8434.491</v>
      </c>
      <c r="F35" s="19">
        <v>34331.993000000002</v>
      </c>
      <c r="G35" s="19">
        <v>254.66200000000001</v>
      </c>
      <c r="H35" s="20"/>
      <c r="I35" s="21">
        <f>SUM(J35:L35)</f>
        <v>40985.204999999994</v>
      </c>
      <c r="J35" s="19">
        <v>6574.3549999999996</v>
      </c>
      <c r="K35" s="19">
        <v>34122.991999999998</v>
      </c>
      <c r="L35" s="19">
        <v>287.858</v>
      </c>
      <c r="M35" s="20"/>
      <c r="N35" s="21">
        <f t="shared" ref="N35" si="31">O35+P35+Q35</f>
        <v>84006.35100000001</v>
      </c>
      <c r="O35" s="19">
        <f t="shared" si="28"/>
        <v>15008.846</v>
      </c>
      <c r="P35" s="19">
        <f t="shared" si="29"/>
        <v>68454.985000000001</v>
      </c>
      <c r="Q35" s="19">
        <f t="shared" si="30"/>
        <v>542.52</v>
      </c>
      <c r="R35" s="20"/>
    </row>
    <row r="36" spans="1:18" s="4" customFormat="1" ht="15.75" customHeight="1" thickBot="1">
      <c r="A36" s="121" t="s">
        <v>27</v>
      </c>
      <c r="B36" s="122" t="s">
        <v>56</v>
      </c>
      <c r="C36" s="123" t="s">
        <v>33</v>
      </c>
      <c r="D36" s="174"/>
      <c r="E36" s="175"/>
      <c r="F36" s="175"/>
      <c r="G36" s="175"/>
      <c r="H36" s="176"/>
      <c r="I36" s="174"/>
      <c r="J36" s="175"/>
      <c r="K36" s="175"/>
      <c r="L36" s="175"/>
      <c r="M36" s="176"/>
      <c r="N36" s="174"/>
      <c r="O36" s="175"/>
      <c r="P36" s="175"/>
      <c r="Q36" s="175"/>
      <c r="R36" s="176"/>
    </row>
    <row r="37" spans="1:18" s="4" customFormat="1">
      <c r="A37" s="2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s="4" customFormat="1">
      <c r="A38" s="2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</sheetData>
  <mergeCells count="7">
    <mergeCell ref="N4:R4"/>
    <mergeCell ref="A2:D2"/>
    <mergeCell ref="A4:A5"/>
    <mergeCell ref="B4:B5"/>
    <mergeCell ref="C4:C6"/>
    <mergeCell ref="D4:H4"/>
    <mergeCell ref="I4:M4"/>
  </mergeCells>
  <pageMargins left="0.39370078740157483" right="0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1"/>
  <dimension ref="A1:AB43"/>
  <sheetViews>
    <sheetView tabSelected="1" view="pageBreakPreview" zoomScaleNormal="75" zoomScaleSheetLayoutView="100" workbookViewId="0">
      <selection activeCell="Q25" sqref="Q25"/>
    </sheetView>
  </sheetViews>
  <sheetFormatPr defaultColWidth="9.140625" defaultRowHeight="12.75"/>
  <cols>
    <col min="1" max="1" width="6.140625" style="22" customWidth="1"/>
    <col min="2" max="2" width="45.42578125" style="22" customWidth="1"/>
    <col min="3" max="3" width="6.5703125" style="23" customWidth="1"/>
    <col min="4" max="4" width="9.140625" style="22" customWidth="1"/>
    <col min="5" max="7" width="10.5703125" style="22" customWidth="1"/>
    <col min="8" max="8" width="8" style="22" customWidth="1"/>
    <col min="9" max="13" width="10.5703125" style="22" customWidth="1"/>
    <col min="14" max="14" width="9.140625" style="22" customWidth="1"/>
    <col min="15" max="17" width="10.5703125" style="22" customWidth="1"/>
    <col min="18" max="18" width="8" style="22" customWidth="1"/>
    <col min="19" max="24" width="0" style="22" hidden="1" customWidth="1"/>
    <col min="25" max="16384" width="9.140625" style="22"/>
  </cols>
  <sheetData>
    <row r="1" spans="1:28" ht="20.25">
      <c r="B1" s="149" t="str">
        <f>'П1.4'!B1</f>
        <v>АО "КузбассЭлектро"</v>
      </c>
    </row>
    <row r="2" spans="1:28" s="1" customFormat="1" ht="15.75">
      <c r="A2" s="197" t="s">
        <v>228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" t="s">
        <v>249</v>
      </c>
    </row>
    <row r="3" spans="1:28" ht="13.5" thickBot="1"/>
    <row r="4" spans="1:28" s="24" customFormat="1" ht="15">
      <c r="A4" s="199" t="s">
        <v>29</v>
      </c>
      <c r="B4" s="200" t="s">
        <v>30</v>
      </c>
      <c r="C4" s="202" t="s">
        <v>31</v>
      </c>
      <c r="D4" s="185" t="str">
        <f>'П1.4'!D4:H4</f>
        <v>Факт 1 полугодие 2024г.</v>
      </c>
      <c r="E4" s="186"/>
      <c r="F4" s="186"/>
      <c r="G4" s="186"/>
      <c r="H4" s="187"/>
      <c r="I4" s="185" t="str">
        <f>'П1.4'!I4:M4</f>
        <v>Факт 2 полугодие 2024г.</v>
      </c>
      <c r="J4" s="186"/>
      <c r="K4" s="186"/>
      <c r="L4" s="186"/>
      <c r="M4" s="187"/>
      <c r="N4" s="185" t="str">
        <f>'П1.4'!N4:R4</f>
        <v>ФАКТ 2024 год</v>
      </c>
      <c r="O4" s="186"/>
      <c r="P4" s="186"/>
      <c r="Q4" s="186"/>
      <c r="R4" s="187"/>
    </row>
    <row r="5" spans="1:28" s="28" customFormat="1">
      <c r="A5" s="199"/>
      <c r="B5" s="201"/>
      <c r="C5" s="203"/>
      <c r="D5" s="25" t="s">
        <v>0</v>
      </c>
      <c r="E5" s="26" t="s">
        <v>6</v>
      </c>
      <c r="F5" s="26" t="s">
        <v>7</v>
      </c>
      <c r="G5" s="26" t="s">
        <v>8</v>
      </c>
      <c r="H5" s="27" t="s">
        <v>9</v>
      </c>
      <c r="I5" s="25" t="s">
        <v>0</v>
      </c>
      <c r="J5" s="26" t="s">
        <v>6</v>
      </c>
      <c r="K5" s="26" t="s">
        <v>7</v>
      </c>
      <c r="L5" s="26" t="s">
        <v>8</v>
      </c>
      <c r="M5" s="27" t="s">
        <v>9</v>
      </c>
      <c r="N5" s="25" t="s">
        <v>0</v>
      </c>
      <c r="O5" s="26" t="s">
        <v>6</v>
      </c>
      <c r="P5" s="26" t="s">
        <v>7</v>
      </c>
      <c r="Q5" s="26" t="s">
        <v>8</v>
      </c>
      <c r="R5" s="27" t="s">
        <v>9</v>
      </c>
    </row>
    <row r="6" spans="1:28" s="28" customFormat="1" ht="13.5" thickBot="1">
      <c r="A6" s="29">
        <v>1</v>
      </c>
      <c r="B6" s="30">
        <v>2</v>
      </c>
      <c r="C6" s="204"/>
      <c r="D6" s="31">
        <f>1</f>
        <v>1</v>
      </c>
      <c r="E6" s="32">
        <f>D6+1</f>
        <v>2</v>
      </c>
      <c r="F6" s="32">
        <f>E6+1</f>
        <v>3</v>
      </c>
      <c r="G6" s="32">
        <f>F6+1</f>
        <v>4</v>
      </c>
      <c r="H6" s="33">
        <f>G6+1</f>
        <v>5</v>
      </c>
      <c r="I6" s="31">
        <f>1</f>
        <v>1</v>
      </c>
      <c r="J6" s="32">
        <f>I6+1</f>
        <v>2</v>
      </c>
      <c r="K6" s="32">
        <f>J6+1</f>
        <v>3</v>
      </c>
      <c r="L6" s="32">
        <f>K6+1</f>
        <v>4</v>
      </c>
      <c r="M6" s="33">
        <f>L6+1</f>
        <v>5</v>
      </c>
      <c r="N6" s="31">
        <f>1</f>
        <v>1</v>
      </c>
      <c r="O6" s="32">
        <f>N6+1</f>
        <v>2</v>
      </c>
      <c r="P6" s="32">
        <f>O6+1</f>
        <v>3</v>
      </c>
      <c r="Q6" s="32">
        <f>P6+1</f>
        <v>4</v>
      </c>
      <c r="R6" s="33">
        <f>Q6+1</f>
        <v>5</v>
      </c>
    </row>
    <row r="7" spans="1:28" s="24" customFormat="1">
      <c r="A7" s="127" t="s">
        <v>15</v>
      </c>
      <c r="B7" s="128" t="s">
        <v>57</v>
      </c>
      <c r="C7" s="129" t="s">
        <v>58</v>
      </c>
      <c r="D7" s="109">
        <f>D16</f>
        <v>83.907000000000011</v>
      </c>
      <c r="E7" s="109">
        <f t="shared" ref="E7" si="0">E12+E16</f>
        <v>72.441000000000003</v>
      </c>
      <c r="F7" s="109">
        <f>F11+F16</f>
        <v>56.333000000000013</v>
      </c>
      <c r="G7" s="109">
        <f>G12+G16</f>
        <v>7.4140000000000095</v>
      </c>
      <c r="H7" s="109">
        <f>SUM(H13,H16)</f>
        <v>1.0000000000009557E-2</v>
      </c>
      <c r="I7" s="109">
        <f>I16</f>
        <v>81.197999999999993</v>
      </c>
      <c r="J7" s="109">
        <f t="shared" ref="J7" si="1">J12+J16</f>
        <v>70.525999999999996</v>
      </c>
      <c r="K7" s="109">
        <f>K11+K16</f>
        <v>53.871000000000009</v>
      </c>
      <c r="L7" s="109">
        <f>L12+L16</f>
        <v>6.2830000000000075</v>
      </c>
      <c r="M7" s="109">
        <f>SUM(M13,M16)</f>
        <v>1.000000000000778E-2</v>
      </c>
      <c r="N7" s="109">
        <f>N16</f>
        <v>82.552999999999997</v>
      </c>
      <c r="O7" s="109">
        <f t="shared" ref="O7" si="2">O12+O16</f>
        <v>71.483999999999995</v>
      </c>
      <c r="P7" s="109">
        <f>P11+P16</f>
        <v>55.101999999999997</v>
      </c>
      <c r="Q7" s="109">
        <f>Q12+Q16</f>
        <v>6.8479999999999999</v>
      </c>
      <c r="R7" s="109">
        <f>SUM(R13,R16)</f>
        <v>9.9999999999997868E-3</v>
      </c>
      <c r="S7" s="24">
        <f>(D7*6+I7*6)/12</f>
        <v>82.552500000000009</v>
      </c>
      <c r="T7" s="24">
        <f t="shared" ref="T7:V27" si="3">(E7*6+J7*6)/12</f>
        <v>71.483499999999992</v>
      </c>
      <c r="U7" s="24">
        <f t="shared" si="3"/>
        <v>55.102000000000011</v>
      </c>
      <c r="V7" s="24">
        <f t="shared" si="3"/>
        <v>6.8485000000000085</v>
      </c>
    </row>
    <row r="8" spans="1:28" s="24" customFormat="1">
      <c r="A8" s="130" t="s">
        <v>2</v>
      </c>
      <c r="B8" s="131" t="s">
        <v>34</v>
      </c>
      <c r="C8" s="129" t="s">
        <v>58</v>
      </c>
      <c r="D8" s="39"/>
      <c r="E8" s="110"/>
      <c r="F8" s="110">
        <f>F11</f>
        <v>45.39800000000001</v>
      </c>
      <c r="G8" s="110">
        <f>G12</f>
        <v>6.8830000000000098</v>
      </c>
      <c r="H8" s="111">
        <f>H13</f>
        <v>1.0000000000009557E-2</v>
      </c>
      <c r="I8" s="39"/>
      <c r="J8" s="110"/>
      <c r="K8" s="110">
        <f>K11</f>
        <v>43.665000000000006</v>
      </c>
      <c r="L8" s="110">
        <f>L12</f>
        <v>5.8170000000000073</v>
      </c>
      <c r="M8" s="111">
        <f>M13</f>
        <v>1.000000000000778E-2</v>
      </c>
      <c r="N8" s="39"/>
      <c r="O8" s="110"/>
      <c r="P8" s="110">
        <f>P11</f>
        <v>44.530999999999999</v>
      </c>
      <c r="Q8" s="110">
        <f>Q12</f>
        <v>6.35</v>
      </c>
      <c r="R8" s="111">
        <f>R13</f>
        <v>9.9999999999997868E-3</v>
      </c>
      <c r="S8" s="24">
        <f t="shared" ref="S8:S36" si="4">(D8*6+I8*6)/12</f>
        <v>0</v>
      </c>
      <c r="T8" s="24">
        <f t="shared" si="3"/>
        <v>0</v>
      </c>
      <c r="U8" s="24">
        <f t="shared" si="3"/>
        <v>44.531500000000001</v>
      </c>
      <c r="V8" s="24">
        <f t="shared" si="3"/>
        <v>6.3500000000000085</v>
      </c>
    </row>
    <row r="9" spans="1:28">
      <c r="A9" s="130"/>
      <c r="B9" s="131" t="s">
        <v>35</v>
      </c>
      <c r="C9" s="129"/>
      <c r="D9" s="34"/>
      <c r="E9" s="35"/>
      <c r="F9" s="35"/>
      <c r="G9" s="35"/>
      <c r="H9" s="36"/>
      <c r="I9" s="34"/>
      <c r="J9" s="35"/>
      <c r="K9" s="35"/>
      <c r="L9" s="35"/>
      <c r="M9" s="36"/>
      <c r="N9" s="34"/>
      <c r="O9" s="35"/>
      <c r="P9" s="35"/>
      <c r="Q9" s="35"/>
      <c r="R9" s="36"/>
      <c r="S9" s="24">
        <f t="shared" si="4"/>
        <v>0</v>
      </c>
      <c r="T9" s="24">
        <f t="shared" si="3"/>
        <v>0</v>
      </c>
      <c r="U9" s="24">
        <f t="shared" si="3"/>
        <v>0</v>
      </c>
      <c r="V9" s="24">
        <f t="shared" si="3"/>
        <v>0</v>
      </c>
    </row>
    <row r="10" spans="1:28">
      <c r="A10" s="130"/>
      <c r="B10" s="131" t="s">
        <v>36</v>
      </c>
      <c r="C10" s="129" t="s">
        <v>58</v>
      </c>
      <c r="D10" s="34"/>
      <c r="E10" s="37"/>
      <c r="F10" s="37"/>
      <c r="G10" s="37"/>
      <c r="H10" s="38"/>
      <c r="I10" s="34"/>
      <c r="J10" s="37"/>
      <c r="K10" s="37"/>
      <c r="L10" s="37"/>
      <c r="M10" s="38"/>
      <c r="N10" s="34"/>
      <c r="O10" s="37"/>
      <c r="P10" s="37"/>
      <c r="Q10" s="37"/>
      <c r="R10" s="38"/>
      <c r="S10" s="24">
        <f t="shared" si="4"/>
        <v>0</v>
      </c>
      <c r="T10" s="24">
        <f t="shared" si="3"/>
        <v>0</v>
      </c>
      <c r="U10" s="24">
        <f t="shared" si="3"/>
        <v>0</v>
      </c>
      <c r="V10" s="24">
        <f t="shared" si="3"/>
        <v>0</v>
      </c>
    </row>
    <row r="11" spans="1:28">
      <c r="A11" s="130"/>
      <c r="B11" s="131" t="s">
        <v>6</v>
      </c>
      <c r="C11" s="129" t="s">
        <v>58</v>
      </c>
      <c r="D11" s="34"/>
      <c r="E11" s="35"/>
      <c r="F11" s="37">
        <f>E16-E22-E29-E33-E36</f>
        <v>45.39800000000001</v>
      </c>
      <c r="G11" s="37"/>
      <c r="H11" s="38"/>
      <c r="I11" s="34"/>
      <c r="J11" s="35"/>
      <c r="K11" s="37">
        <f>J16-J22-J29-J33-J36</f>
        <v>43.665000000000006</v>
      </c>
      <c r="L11" s="37"/>
      <c r="M11" s="38"/>
      <c r="N11" s="34"/>
      <c r="O11" s="35"/>
      <c r="P11" s="37">
        <v>44.530999999999999</v>
      </c>
      <c r="Q11" s="37"/>
      <c r="R11" s="38"/>
      <c r="S11" s="24">
        <f t="shared" si="4"/>
        <v>0</v>
      </c>
      <c r="T11" s="24">
        <f t="shared" si="3"/>
        <v>0</v>
      </c>
      <c r="U11" s="24">
        <f t="shared" si="3"/>
        <v>44.531500000000001</v>
      </c>
      <c r="V11" s="24">
        <f t="shared" si="3"/>
        <v>0</v>
      </c>
    </row>
    <row r="12" spans="1:28">
      <c r="A12" s="130"/>
      <c r="B12" s="131" t="s">
        <v>7</v>
      </c>
      <c r="C12" s="129" t="s">
        <v>58</v>
      </c>
      <c r="D12" s="34"/>
      <c r="E12" s="35"/>
      <c r="F12" s="35"/>
      <c r="G12" s="37">
        <f>F7-F22-F33-F36</f>
        <v>6.8830000000000098</v>
      </c>
      <c r="H12" s="38"/>
      <c r="I12" s="34"/>
      <c r="J12" s="35"/>
      <c r="K12" s="35"/>
      <c r="L12" s="37">
        <f>K7-K22-K33-K36</f>
        <v>5.8170000000000073</v>
      </c>
      <c r="M12" s="38"/>
      <c r="N12" s="34"/>
      <c r="O12" s="35"/>
      <c r="P12" s="35"/>
      <c r="Q12" s="37">
        <v>6.35</v>
      </c>
      <c r="R12" s="38"/>
      <c r="S12" s="24">
        <f t="shared" si="4"/>
        <v>0</v>
      </c>
      <c r="T12" s="24">
        <f t="shared" si="3"/>
        <v>0</v>
      </c>
      <c r="U12" s="24">
        <f t="shared" si="3"/>
        <v>0</v>
      </c>
      <c r="V12" s="24">
        <f t="shared" si="3"/>
        <v>6.3500000000000085</v>
      </c>
    </row>
    <row r="13" spans="1:28">
      <c r="A13" s="130"/>
      <c r="B13" s="131" t="s">
        <v>8</v>
      </c>
      <c r="C13" s="129" t="s">
        <v>58</v>
      </c>
      <c r="D13" s="34"/>
      <c r="E13" s="35"/>
      <c r="F13" s="35"/>
      <c r="G13" s="35"/>
      <c r="H13" s="38">
        <f>G7-G22-G29-G30</f>
        <v>1.0000000000009557E-2</v>
      </c>
      <c r="I13" s="34"/>
      <c r="J13" s="35"/>
      <c r="K13" s="35"/>
      <c r="L13" s="35"/>
      <c r="M13" s="38">
        <f>L7-L22-L29-L30</f>
        <v>1.000000000000778E-2</v>
      </c>
      <c r="N13" s="34"/>
      <c r="O13" s="35"/>
      <c r="P13" s="35"/>
      <c r="Q13" s="35"/>
      <c r="R13" s="38">
        <f>Q7-Q22-Q29-Q30</f>
        <v>9.9999999999997868E-3</v>
      </c>
      <c r="S13" s="24">
        <f t="shared" si="4"/>
        <v>0</v>
      </c>
      <c r="T13" s="24">
        <f t="shared" si="3"/>
        <v>0</v>
      </c>
      <c r="U13" s="24">
        <f t="shared" si="3"/>
        <v>0</v>
      </c>
      <c r="V13" s="24">
        <f t="shared" si="3"/>
        <v>0</v>
      </c>
    </row>
    <row r="14" spans="1:28" ht="15">
      <c r="A14" s="130" t="s">
        <v>3</v>
      </c>
      <c r="B14" s="122" t="s">
        <v>59</v>
      </c>
      <c r="C14" s="129" t="s">
        <v>58</v>
      </c>
      <c r="D14" s="39"/>
      <c r="E14" s="37"/>
      <c r="F14" s="37"/>
      <c r="G14" s="37"/>
      <c r="H14" s="38"/>
      <c r="I14" s="39"/>
      <c r="J14" s="37"/>
      <c r="K14" s="37"/>
      <c r="L14" s="37"/>
      <c r="M14" s="38"/>
      <c r="N14" s="39"/>
      <c r="O14" s="37"/>
      <c r="P14" s="37"/>
      <c r="Q14" s="37"/>
      <c r="R14" s="38"/>
      <c r="S14" s="24">
        <f t="shared" si="4"/>
        <v>0</v>
      </c>
      <c r="T14" s="24">
        <f t="shared" si="3"/>
        <v>0</v>
      </c>
      <c r="U14" s="24">
        <f t="shared" si="3"/>
        <v>0</v>
      </c>
      <c r="V14" s="24">
        <f t="shared" si="3"/>
        <v>0</v>
      </c>
    </row>
    <row r="15" spans="1:28" ht="15">
      <c r="A15" s="130" t="s">
        <v>4</v>
      </c>
      <c r="B15" s="122" t="s">
        <v>13</v>
      </c>
      <c r="C15" s="129" t="s">
        <v>58</v>
      </c>
      <c r="D15" s="39"/>
      <c r="E15" s="37"/>
      <c r="F15" s="37"/>
      <c r="G15" s="37"/>
      <c r="H15" s="38"/>
      <c r="I15" s="39"/>
      <c r="J15" s="37"/>
      <c r="K15" s="37"/>
      <c r="L15" s="37"/>
      <c r="M15" s="38"/>
      <c r="N15" s="39"/>
      <c r="O15" s="37"/>
      <c r="P15" s="37"/>
      <c r="Q15" s="37"/>
      <c r="R15" s="38"/>
      <c r="S15" s="24">
        <f t="shared" si="4"/>
        <v>0</v>
      </c>
      <c r="T15" s="24">
        <f t="shared" si="3"/>
        <v>0</v>
      </c>
      <c r="U15" s="24">
        <f t="shared" si="3"/>
        <v>0</v>
      </c>
      <c r="V15" s="24">
        <f t="shared" si="3"/>
        <v>0</v>
      </c>
    </row>
    <row r="16" spans="1:28" ht="15">
      <c r="A16" s="130" t="s">
        <v>5</v>
      </c>
      <c r="B16" s="122" t="s">
        <v>60</v>
      </c>
      <c r="C16" s="129" t="s">
        <v>58</v>
      </c>
      <c r="D16" s="39">
        <f>E16+F16+G16</f>
        <v>83.907000000000011</v>
      </c>
      <c r="E16" s="37">
        <f>SUM(E17:E21)</f>
        <v>72.441000000000003</v>
      </c>
      <c r="F16" s="37">
        <f>SUM(F17:F21)</f>
        <v>10.935</v>
      </c>
      <c r="G16" s="37">
        <f>SUM(G17:G21)</f>
        <v>0.53100000000000003</v>
      </c>
      <c r="H16" s="38"/>
      <c r="I16" s="39">
        <f>J16+K16+L16</f>
        <v>81.197999999999993</v>
      </c>
      <c r="J16" s="37">
        <f>SUM(J17:J21)</f>
        <v>70.525999999999996</v>
      </c>
      <c r="K16" s="37">
        <f>SUM(K17:K21)</f>
        <v>10.206</v>
      </c>
      <c r="L16" s="37">
        <f>SUM(L17:L21)</f>
        <v>0.46599999999999997</v>
      </c>
      <c r="M16" s="38"/>
      <c r="N16" s="39">
        <f>SUM(O16:Q16)</f>
        <v>82.552999999999997</v>
      </c>
      <c r="O16" s="37">
        <v>71.483999999999995</v>
      </c>
      <c r="P16" s="37">
        <v>10.571</v>
      </c>
      <c r="Q16" s="37">
        <v>0.498</v>
      </c>
      <c r="R16" s="38"/>
      <c r="S16" s="24">
        <f t="shared" si="4"/>
        <v>82.552500000000009</v>
      </c>
      <c r="T16" s="24">
        <f t="shared" si="3"/>
        <v>71.483499999999992</v>
      </c>
      <c r="U16" s="24">
        <f t="shared" si="3"/>
        <v>10.570500000000001</v>
      </c>
      <c r="V16" s="24">
        <f t="shared" si="3"/>
        <v>0.49849999999999994</v>
      </c>
      <c r="Y16" s="168"/>
      <c r="Z16" s="168"/>
      <c r="AA16" s="168"/>
      <c r="AB16" s="168"/>
    </row>
    <row r="17" spans="1:28" ht="15">
      <c r="A17" s="121" t="s">
        <v>259</v>
      </c>
      <c r="B17" s="158" t="s">
        <v>280</v>
      </c>
      <c r="C17" s="129" t="s">
        <v>58</v>
      </c>
      <c r="D17" s="39">
        <f t="shared" ref="D17:D21" si="5">E17+F17+G17</f>
        <v>5.915</v>
      </c>
      <c r="E17" s="37">
        <v>5.915</v>
      </c>
      <c r="F17" s="37"/>
      <c r="G17" s="37"/>
      <c r="H17" s="38"/>
      <c r="I17" s="39">
        <f t="shared" ref="I17:I21" si="6">J17+K17+L17</f>
        <v>5.915</v>
      </c>
      <c r="J17" s="37">
        <v>5.915</v>
      </c>
      <c r="K17" s="37"/>
      <c r="L17" s="37"/>
      <c r="M17" s="38"/>
      <c r="N17" s="39">
        <f t="shared" ref="N17:N21" si="7">O17+P17+Q17</f>
        <v>5.915</v>
      </c>
      <c r="O17" s="37">
        <v>5.915</v>
      </c>
      <c r="P17" s="37"/>
      <c r="Q17" s="37"/>
      <c r="R17" s="38"/>
      <c r="S17" s="24"/>
      <c r="T17" s="24"/>
      <c r="U17" s="24"/>
      <c r="V17" s="24"/>
      <c r="Y17" s="168"/>
      <c r="Z17" s="168"/>
      <c r="AA17" s="168"/>
      <c r="AB17" s="168"/>
    </row>
    <row r="18" spans="1:28" ht="15">
      <c r="A18" s="121" t="s">
        <v>260</v>
      </c>
      <c r="B18" s="159" t="s">
        <v>270</v>
      </c>
      <c r="C18" s="129" t="s">
        <v>58</v>
      </c>
      <c r="D18" s="39">
        <f t="shared" si="5"/>
        <v>68.528999999999996</v>
      </c>
      <c r="E18" s="37">
        <v>57.262</v>
      </c>
      <c r="F18" s="37">
        <v>10.85</v>
      </c>
      <c r="G18" s="37">
        <v>0.41699999999999998</v>
      </c>
      <c r="H18" s="38"/>
      <c r="I18" s="39">
        <f t="shared" si="6"/>
        <v>66.057999999999993</v>
      </c>
      <c r="J18" s="37">
        <v>55.552</v>
      </c>
      <c r="K18" s="37">
        <v>10.135</v>
      </c>
      <c r="L18" s="37">
        <v>0.371</v>
      </c>
      <c r="M18" s="38"/>
      <c r="N18" s="39">
        <f>O18+P18+Q18</f>
        <v>67.293999999999997</v>
      </c>
      <c r="O18" s="37">
        <v>56.406999999999996</v>
      </c>
      <c r="P18" s="37">
        <v>10.493</v>
      </c>
      <c r="Q18" s="37">
        <v>0.39400000000000002</v>
      </c>
      <c r="R18" s="38"/>
      <c r="S18" s="24"/>
      <c r="T18" s="24"/>
      <c r="U18" s="24"/>
      <c r="V18" s="24"/>
      <c r="Y18" s="168"/>
      <c r="Z18" s="168"/>
      <c r="AA18" s="168"/>
      <c r="AB18" s="168"/>
    </row>
    <row r="19" spans="1:28" ht="15">
      <c r="A19" s="121" t="s">
        <v>261</v>
      </c>
      <c r="B19" s="122" t="s">
        <v>253</v>
      </c>
      <c r="C19" s="129" t="s">
        <v>58</v>
      </c>
      <c r="D19" s="39">
        <f t="shared" si="5"/>
        <v>9.2639999999999993</v>
      </c>
      <c r="E19" s="37">
        <v>9.2639999999999993</v>
      </c>
      <c r="F19" s="37"/>
      <c r="G19" s="37"/>
      <c r="H19" s="38"/>
      <c r="I19" s="39">
        <f t="shared" si="6"/>
        <v>9.0589999999999993</v>
      </c>
      <c r="J19" s="37">
        <v>9.0589999999999993</v>
      </c>
      <c r="K19" s="37"/>
      <c r="L19" s="37"/>
      <c r="M19" s="38"/>
      <c r="N19" s="39">
        <f t="shared" si="7"/>
        <v>9.1620000000000008</v>
      </c>
      <c r="O19" s="37">
        <v>9.1620000000000008</v>
      </c>
      <c r="P19" s="37"/>
      <c r="Q19" s="37"/>
      <c r="R19" s="38"/>
      <c r="S19" s="24"/>
      <c r="T19" s="24"/>
      <c r="U19" s="24"/>
      <c r="V19" s="24"/>
      <c r="Y19" s="168"/>
      <c r="Z19" s="168"/>
      <c r="AA19" s="168"/>
      <c r="AB19" s="168"/>
    </row>
    <row r="20" spans="1:28" ht="15">
      <c r="A20" s="121" t="s">
        <v>262</v>
      </c>
      <c r="B20" s="122" t="s">
        <v>237</v>
      </c>
      <c r="C20" s="129" t="s">
        <v>58</v>
      </c>
      <c r="D20" s="39">
        <f t="shared" si="5"/>
        <v>8.5000000000000006E-2</v>
      </c>
      <c r="E20" s="37"/>
      <c r="F20" s="37">
        <v>8.5000000000000006E-2</v>
      </c>
      <c r="G20" s="37"/>
      <c r="H20" s="38"/>
      <c r="I20" s="39">
        <f t="shared" si="6"/>
        <v>7.0999999999999994E-2</v>
      </c>
      <c r="J20" s="37"/>
      <c r="K20" s="37">
        <v>7.0999999999999994E-2</v>
      </c>
      <c r="L20" s="37"/>
      <c r="M20" s="38"/>
      <c r="N20" s="39">
        <f t="shared" si="7"/>
        <v>7.8E-2</v>
      </c>
      <c r="O20" s="37"/>
      <c r="P20" s="37">
        <v>7.8E-2</v>
      </c>
      <c r="Q20" s="37"/>
      <c r="R20" s="38"/>
      <c r="S20" s="24"/>
      <c r="T20" s="24"/>
      <c r="U20" s="24"/>
      <c r="V20" s="24"/>
      <c r="Y20" s="168"/>
      <c r="Z20" s="168"/>
      <c r="AA20" s="168"/>
      <c r="AB20" s="168"/>
    </row>
    <row r="21" spans="1:28" ht="15">
      <c r="A21" s="121" t="s">
        <v>263</v>
      </c>
      <c r="B21" s="122" t="s">
        <v>264</v>
      </c>
      <c r="C21" s="129" t="s">
        <v>58</v>
      </c>
      <c r="D21" s="39">
        <f t="shared" si="5"/>
        <v>0.114</v>
      </c>
      <c r="E21" s="37"/>
      <c r="F21" s="37"/>
      <c r="G21" s="37">
        <v>0.114</v>
      </c>
      <c r="H21" s="38"/>
      <c r="I21" s="39">
        <f t="shared" si="6"/>
        <v>9.5000000000000001E-2</v>
      </c>
      <c r="J21" s="37"/>
      <c r="K21" s="37"/>
      <c r="L21" s="37">
        <v>9.5000000000000001E-2</v>
      </c>
      <c r="M21" s="38"/>
      <c r="N21" s="39">
        <f t="shared" si="7"/>
        <v>0.104</v>
      </c>
      <c r="O21" s="37"/>
      <c r="P21" s="37"/>
      <c r="Q21" s="37">
        <v>0.104</v>
      </c>
      <c r="R21" s="38"/>
      <c r="S21" s="24"/>
      <c r="T21" s="24"/>
      <c r="U21" s="24"/>
      <c r="V21" s="24"/>
      <c r="Y21" s="168"/>
      <c r="Z21" s="168"/>
      <c r="AA21" s="168"/>
      <c r="AB21" s="168"/>
    </row>
    <row r="22" spans="1:28" ht="15">
      <c r="A22" s="130" t="s">
        <v>19</v>
      </c>
      <c r="B22" s="122" t="s">
        <v>61</v>
      </c>
      <c r="C22" s="129" t="s">
        <v>58</v>
      </c>
      <c r="D22" s="39">
        <f>E22+F22+G22</f>
        <v>1.7150000000000001</v>
      </c>
      <c r="E22" s="37">
        <v>0.91300000000000003</v>
      </c>
      <c r="F22" s="37">
        <v>0.75</v>
      </c>
      <c r="G22" s="37">
        <v>5.1999999999999998E-2</v>
      </c>
      <c r="H22" s="38"/>
      <c r="I22" s="39">
        <f>J22+K22+L22</f>
        <v>1.7009999999999998</v>
      </c>
      <c r="J22" s="37">
        <v>0.97199999999999998</v>
      </c>
      <c r="K22" s="37">
        <v>0.69399999999999995</v>
      </c>
      <c r="L22" s="37">
        <v>3.5000000000000003E-2</v>
      </c>
      <c r="M22" s="38"/>
      <c r="N22" s="39">
        <f>O22+P22+Q22</f>
        <v>1.708</v>
      </c>
      <c r="O22" s="37">
        <v>0.94299999999999995</v>
      </c>
      <c r="P22" s="37">
        <v>0.72199999999999998</v>
      </c>
      <c r="Q22" s="37">
        <v>4.2999999999999997E-2</v>
      </c>
      <c r="R22" s="38"/>
      <c r="S22" s="24">
        <f t="shared" si="4"/>
        <v>1.7080000000000002</v>
      </c>
      <c r="T22" s="24">
        <f t="shared" si="3"/>
        <v>0.94249999999999989</v>
      </c>
      <c r="U22" s="24">
        <f t="shared" si="3"/>
        <v>0.72199999999999998</v>
      </c>
      <c r="V22" s="24">
        <f t="shared" si="3"/>
        <v>4.3500000000000004E-2</v>
      </c>
      <c r="Y22" s="168"/>
      <c r="Z22" s="168"/>
      <c r="AA22" s="168"/>
      <c r="AB22" s="168"/>
    </row>
    <row r="23" spans="1:28" ht="15">
      <c r="A23" s="130"/>
      <c r="B23" s="122" t="s">
        <v>62</v>
      </c>
      <c r="C23" s="129" t="s">
        <v>1</v>
      </c>
      <c r="D23" s="150">
        <f>D22/D16*100</f>
        <v>2.0439295887113111</v>
      </c>
      <c r="E23" s="150">
        <f>E22/E16*100</f>
        <v>1.2603359975704367</v>
      </c>
      <c r="F23" s="150">
        <f>F22/F7*100</f>
        <v>1.3313688246676014</v>
      </c>
      <c r="G23" s="150">
        <f>G22/G7*100</f>
        <v>0.70137577555975084</v>
      </c>
      <c r="H23" s="111"/>
      <c r="I23" s="150">
        <f>I22/I16*100</f>
        <v>2.0948791842163601</v>
      </c>
      <c r="J23" s="150">
        <f>J22/J16*100</f>
        <v>1.3782151263363867</v>
      </c>
      <c r="K23" s="150">
        <f>K22/K7*100</f>
        <v>1.2882627016391006</v>
      </c>
      <c r="L23" s="150">
        <f>L22/L7*100</f>
        <v>0.55705872990609528</v>
      </c>
      <c r="M23" s="111"/>
      <c r="N23" s="150">
        <f>N22/N16*100</f>
        <v>2.0689738713311447</v>
      </c>
      <c r="O23" s="150">
        <f>O22/O16*100</f>
        <v>1.3191763191763193</v>
      </c>
      <c r="P23" s="150">
        <f>P22/P7*100</f>
        <v>1.3102972668868644</v>
      </c>
      <c r="Q23" s="150">
        <f>Q22/Q7*100</f>
        <v>0.62792056074766356</v>
      </c>
      <c r="R23" s="111"/>
      <c r="S23" s="24">
        <f t="shared" si="4"/>
        <v>2.0694043864638356</v>
      </c>
      <c r="T23" s="24">
        <f t="shared" si="3"/>
        <v>1.3192755619534118</v>
      </c>
      <c r="U23" s="24">
        <f t="shared" si="3"/>
        <v>1.3098157631533509</v>
      </c>
      <c r="V23" s="24">
        <f t="shared" si="3"/>
        <v>0.62921725273292306</v>
      </c>
      <c r="Y23" s="168"/>
      <c r="Z23" s="168"/>
      <c r="AA23" s="168"/>
      <c r="AB23" s="168"/>
    </row>
    <row r="24" spans="1:28" s="4" customFormat="1" ht="15">
      <c r="A24" s="125" t="s">
        <v>42</v>
      </c>
      <c r="B24" s="122" t="s">
        <v>43</v>
      </c>
      <c r="C24" s="129" t="s">
        <v>58</v>
      </c>
      <c r="D24" s="39"/>
      <c r="E24" s="37"/>
      <c r="F24" s="37"/>
      <c r="G24" s="37"/>
      <c r="H24" s="38"/>
      <c r="I24" s="39"/>
      <c r="J24" s="37"/>
      <c r="K24" s="37"/>
      <c r="L24" s="37"/>
      <c r="M24" s="38"/>
      <c r="N24" s="39"/>
      <c r="O24" s="37"/>
      <c r="P24" s="37"/>
      <c r="Q24" s="37"/>
      <c r="R24" s="38"/>
      <c r="S24" s="24">
        <f t="shared" si="4"/>
        <v>0</v>
      </c>
      <c r="T24" s="24">
        <f t="shared" si="3"/>
        <v>0</v>
      </c>
      <c r="U24" s="24">
        <f t="shared" si="3"/>
        <v>0</v>
      </c>
      <c r="V24" s="24">
        <f t="shared" si="3"/>
        <v>0</v>
      </c>
      <c r="Y24" s="168"/>
      <c r="Z24" s="168"/>
      <c r="AA24" s="168"/>
      <c r="AB24" s="168"/>
    </row>
    <row r="25" spans="1:28" s="4" customFormat="1" ht="30">
      <c r="A25" s="125" t="s">
        <v>44</v>
      </c>
      <c r="B25" s="122" t="s">
        <v>45</v>
      </c>
      <c r="C25" s="129" t="s">
        <v>58</v>
      </c>
      <c r="D25" s="39"/>
      <c r="E25" s="37"/>
      <c r="F25" s="37"/>
      <c r="G25" s="37"/>
      <c r="H25" s="38"/>
      <c r="I25" s="39"/>
      <c r="J25" s="37"/>
      <c r="K25" s="37"/>
      <c r="L25" s="37"/>
      <c r="M25" s="38"/>
      <c r="N25" s="39"/>
      <c r="O25" s="37"/>
      <c r="P25" s="37"/>
      <c r="Q25" s="37"/>
      <c r="R25" s="38"/>
      <c r="S25" s="24">
        <f t="shared" si="4"/>
        <v>0</v>
      </c>
      <c r="T25" s="24">
        <f t="shared" si="3"/>
        <v>0</v>
      </c>
      <c r="U25" s="24">
        <f t="shared" si="3"/>
        <v>0</v>
      </c>
      <c r="V25" s="24">
        <f t="shared" si="3"/>
        <v>0</v>
      </c>
      <c r="Y25" s="168"/>
      <c r="Z25" s="168"/>
      <c r="AA25" s="168"/>
      <c r="AB25" s="168"/>
    </row>
    <row r="26" spans="1:28" s="4" customFormat="1" ht="15">
      <c r="A26" s="125" t="s">
        <v>46</v>
      </c>
      <c r="B26" s="122" t="s">
        <v>47</v>
      </c>
      <c r="C26" s="129" t="s">
        <v>58</v>
      </c>
      <c r="D26" s="39">
        <f>E26+F26+G26</f>
        <v>1.7150000000000001</v>
      </c>
      <c r="E26" s="37">
        <f>SUM(E27:E28)</f>
        <v>0.91300000000000003</v>
      </c>
      <c r="F26" s="37">
        <f t="shared" ref="F26:G26" si="8">F22</f>
        <v>0.75</v>
      </c>
      <c r="G26" s="37">
        <f t="shared" si="8"/>
        <v>5.1999999999999998E-2</v>
      </c>
      <c r="H26" s="38"/>
      <c r="I26" s="39">
        <f>J26+K26+L26</f>
        <v>1.7009999999999998</v>
      </c>
      <c r="J26" s="37">
        <f>SUM(J27:J28)</f>
        <v>0.97199999999999998</v>
      </c>
      <c r="K26" s="37">
        <f t="shared" ref="K26:L26" si="9">K22</f>
        <v>0.69399999999999995</v>
      </c>
      <c r="L26" s="37">
        <f t="shared" si="9"/>
        <v>3.5000000000000003E-2</v>
      </c>
      <c r="M26" s="38"/>
      <c r="N26" s="39">
        <f>N22</f>
        <v>1.708</v>
      </c>
      <c r="O26" s="37">
        <f>SUM(O27:O28)</f>
        <v>0.94299999999999995</v>
      </c>
      <c r="P26" s="37">
        <f t="shared" ref="P26:Q26" si="10">P22</f>
        <v>0.72199999999999998</v>
      </c>
      <c r="Q26" s="37">
        <f t="shared" si="10"/>
        <v>4.2999999999999997E-2</v>
      </c>
      <c r="R26" s="38"/>
      <c r="S26" s="24">
        <f t="shared" si="4"/>
        <v>1.7080000000000002</v>
      </c>
      <c r="T26" s="24">
        <f t="shared" si="3"/>
        <v>0.94249999999999989</v>
      </c>
      <c r="U26" s="24">
        <f t="shared" si="3"/>
        <v>0.72199999999999998</v>
      </c>
      <c r="V26" s="24">
        <f t="shared" si="3"/>
        <v>4.3500000000000004E-2</v>
      </c>
      <c r="Y26" s="168"/>
      <c r="Z26" s="168"/>
      <c r="AA26" s="168"/>
      <c r="AB26" s="168"/>
    </row>
    <row r="27" spans="1:28" s="4" customFormat="1" ht="30">
      <c r="A27" s="125" t="s">
        <v>48</v>
      </c>
      <c r="B27" s="122" t="s">
        <v>229</v>
      </c>
      <c r="C27" s="129" t="s">
        <v>58</v>
      </c>
      <c r="D27" s="39">
        <f>E27+F27+G27</f>
        <v>1.714</v>
      </c>
      <c r="E27" s="37">
        <v>0.91200000000000003</v>
      </c>
      <c r="F27" s="37">
        <v>0.75</v>
      </c>
      <c r="G27" s="37">
        <v>5.1999999999999998E-2</v>
      </c>
      <c r="H27" s="38"/>
      <c r="I27" s="39">
        <f>J27+K27+L27</f>
        <v>1.7</v>
      </c>
      <c r="J27" s="37">
        <v>0.97099999999999997</v>
      </c>
      <c r="K27" s="37">
        <v>0.69399999999999995</v>
      </c>
      <c r="L27" s="37">
        <v>3.5000000000000003E-2</v>
      </c>
      <c r="M27" s="38"/>
      <c r="N27" s="39">
        <f>SUM(O27:Q27)</f>
        <v>1.7069999999999999</v>
      </c>
      <c r="O27" s="37">
        <v>0.94199999999999995</v>
      </c>
      <c r="P27" s="37">
        <v>0.72199999999999998</v>
      </c>
      <c r="Q27" s="37">
        <v>4.2999999999999997E-2</v>
      </c>
      <c r="R27" s="38"/>
      <c r="S27" s="24">
        <f t="shared" si="4"/>
        <v>1.7069999999999999</v>
      </c>
      <c r="T27" s="24">
        <f t="shared" si="3"/>
        <v>0.9415</v>
      </c>
      <c r="U27" s="24">
        <f t="shared" si="3"/>
        <v>0.72199999999999998</v>
      </c>
      <c r="V27" s="24">
        <f t="shared" si="3"/>
        <v>4.3500000000000004E-2</v>
      </c>
      <c r="Y27" s="168"/>
      <c r="Z27" s="168"/>
      <c r="AA27" s="168"/>
      <c r="AB27" s="168"/>
    </row>
    <row r="28" spans="1:28" s="4" customFormat="1" ht="30">
      <c r="A28" s="125" t="s">
        <v>271</v>
      </c>
      <c r="B28" s="122" t="s">
        <v>272</v>
      </c>
      <c r="C28" s="129"/>
      <c r="D28" s="39">
        <f>E28+F28+G28</f>
        <v>1E-3</v>
      </c>
      <c r="E28" s="37">
        <v>1E-3</v>
      </c>
      <c r="F28" s="37"/>
      <c r="G28" s="37"/>
      <c r="H28" s="38"/>
      <c r="I28" s="39">
        <f>J28+K28+L28</f>
        <v>1E-3</v>
      </c>
      <c r="J28" s="37">
        <v>1E-3</v>
      </c>
      <c r="K28" s="37"/>
      <c r="L28" s="37"/>
      <c r="M28" s="38"/>
      <c r="N28" s="39">
        <f>SUM(O28:Q28)</f>
        <v>1E-3</v>
      </c>
      <c r="O28" s="37">
        <v>1E-3</v>
      </c>
      <c r="P28" s="37"/>
      <c r="Q28" s="37"/>
      <c r="R28" s="38"/>
      <c r="S28" s="24"/>
      <c r="T28" s="24"/>
      <c r="U28" s="24"/>
      <c r="V28" s="24"/>
      <c r="Y28" s="168"/>
      <c r="Z28" s="168"/>
      <c r="AA28" s="168"/>
      <c r="AB28" s="168"/>
    </row>
    <row r="29" spans="1:28" ht="15" customHeight="1">
      <c r="A29" s="130" t="s">
        <v>21</v>
      </c>
      <c r="B29" s="132" t="s">
        <v>63</v>
      </c>
      <c r="C29" s="129" t="s">
        <v>58</v>
      </c>
      <c r="D29" s="39">
        <f>E29+F29+G29</f>
        <v>0.152</v>
      </c>
      <c r="E29" s="37">
        <v>9.0999999999999998E-2</v>
      </c>
      <c r="F29" s="37"/>
      <c r="G29" s="37">
        <v>6.0999999999999999E-2</v>
      </c>
      <c r="H29" s="38"/>
      <c r="I29" s="39">
        <f>J29+K29+L29</f>
        <v>0.122</v>
      </c>
      <c r="J29" s="37">
        <v>6.4000000000000001E-2</v>
      </c>
      <c r="K29" s="37"/>
      <c r="L29" s="37">
        <v>5.8000000000000003E-2</v>
      </c>
      <c r="M29" s="38"/>
      <c r="N29" s="39">
        <f>O29+P29+Q29</f>
        <v>0.13700000000000001</v>
      </c>
      <c r="O29" s="37">
        <v>7.8E-2</v>
      </c>
      <c r="P29" s="37"/>
      <c r="Q29" s="37">
        <v>5.8999999999999997E-2</v>
      </c>
      <c r="R29" s="38"/>
      <c r="S29" s="24">
        <f t="shared" si="4"/>
        <v>0.13699999999999998</v>
      </c>
      <c r="T29" s="24">
        <f t="shared" ref="T29:T36" si="11">(E29*6+J29*6)/12</f>
        <v>7.7499999999999999E-2</v>
      </c>
      <c r="U29" s="24">
        <f t="shared" ref="U29:U36" si="12">(F29*6+K29*6)/12</f>
        <v>0</v>
      </c>
      <c r="V29" s="24">
        <f t="shared" ref="V29:V36" si="13">(G29*6+L29*6)/12</f>
        <v>5.9499999999999997E-2</v>
      </c>
      <c r="Y29" s="168"/>
      <c r="Z29" s="168"/>
      <c r="AA29" s="168"/>
      <c r="AB29" s="168"/>
    </row>
    <row r="30" spans="1:28" ht="15">
      <c r="A30" s="130" t="s">
        <v>22</v>
      </c>
      <c r="B30" s="122" t="s">
        <v>64</v>
      </c>
      <c r="C30" s="129" t="s">
        <v>58</v>
      </c>
      <c r="D30" s="39">
        <f>SUM(E30:H30)</f>
        <v>82.04</v>
      </c>
      <c r="E30" s="110">
        <f>E33+E36</f>
        <v>26.038999999999998</v>
      </c>
      <c r="F30" s="110">
        <f>F33+F36</f>
        <v>48.7</v>
      </c>
      <c r="G30" s="110">
        <f t="shared" ref="G30:H30" si="14">G33+G36</f>
        <v>7.2910000000000004</v>
      </c>
      <c r="H30" s="110">
        <f t="shared" si="14"/>
        <v>0.01</v>
      </c>
      <c r="I30" s="39">
        <f>SUM(J30:M30)</f>
        <v>79.375000000000014</v>
      </c>
      <c r="J30" s="110">
        <f>J33+J36</f>
        <v>25.824999999999999</v>
      </c>
      <c r="K30" s="110">
        <f t="shared" ref="K30:M30" si="15">K33+K36</f>
        <v>47.36</v>
      </c>
      <c r="L30" s="110">
        <f t="shared" si="15"/>
        <v>6.18</v>
      </c>
      <c r="M30" s="110">
        <f t="shared" si="15"/>
        <v>0.01</v>
      </c>
      <c r="N30" s="39">
        <f>SUM(O30:R30)</f>
        <v>80.708000000000013</v>
      </c>
      <c r="O30" s="110">
        <f>O33+O36</f>
        <v>25.932000000000002</v>
      </c>
      <c r="P30" s="110">
        <f>P33+P36</f>
        <v>48.03</v>
      </c>
      <c r="Q30" s="110">
        <f>Q33+Q36</f>
        <v>6.7359999999999998</v>
      </c>
      <c r="R30" s="110">
        <f>R33+R36</f>
        <v>0.01</v>
      </c>
      <c r="S30" s="24">
        <f t="shared" si="4"/>
        <v>80.70750000000001</v>
      </c>
      <c r="T30" s="24">
        <f t="shared" si="11"/>
        <v>25.931999999999999</v>
      </c>
      <c r="U30" s="24">
        <f t="shared" si="12"/>
        <v>48.03</v>
      </c>
      <c r="V30" s="24">
        <f t="shared" si="13"/>
        <v>6.7354999999999992</v>
      </c>
      <c r="Y30" s="168"/>
      <c r="Z30" s="168"/>
      <c r="AA30" s="168"/>
      <c r="AB30" s="168"/>
    </row>
    <row r="31" spans="1:28" ht="15">
      <c r="A31" s="130" t="s">
        <v>10</v>
      </c>
      <c r="B31" s="122" t="s">
        <v>51</v>
      </c>
      <c r="C31" s="129" t="s">
        <v>58</v>
      </c>
      <c r="D31" s="39">
        <f>SUM(E31:H31)</f>
        <v>82.04</v>
      </c>
      <c r="E31" s="110">
        <f>'П1.6'!I46</f>
        <v>26.038999999999998</v>
      </c>
      <c r="F31" s="110">
        <f>'П1.6'!J46</f>
        <v>48.7</v>
      </c>
      <c r="G31" s="110">
        <f>'П1.6'!K46</f>
        <v>7.2910000000000004</v>
      </c>
      <c r="H31" s="110">
        <f>'П1.6'!L46</f>
        <v>0.01</v>
      </c>
      <c r="I31" s="39">
        <f>SUM(J31:M31)</f>
        <v>79.375000000000014</v>
      </c>
      <c r="J31" s="110">
        <f>'П1.6'!I90</f>
        <v>25.825000000000003</v>
      </c>
      <c r="K31" s="110">
        <f>'П1.6'!J90</f>
        <v>47.36</v>
      </c>
      <c r="L31" s="110">
        <f>'П1.6'!K90</f>
        <v>6.18</v>
      </c>
      <c r="M31" s="110">
        <f>'П1.6'!L90</f>
        <v>0.01</v>
      </c>
      <c r="N31" s="39">
        <f>SUM(O31:R31)</f>
        <v>80.70750000000001</v>
      </c>
      <c r="O31" s="110">
        <f>'П1.6'!I134</f>
        <v>25.931999999999999</v>
      </c>
      <c r="P31" s="110">
        <f>'П1.6'!J134</f>
        <v>48.03</v>
      </c>
      <c r="Q31" s="110">
        <f>'П1.6'!K134</f>
        <v>6.7355000000000018</v>
      </c>
      <c r="R31" s="110">
        <f>'П1.6'!L134</f>
        <v>0.01</v>
      </c>
      <c r="S31" s="24">
        <f t="shared" si="4"/>
        <v>80.70750000000001</v>
      </c>
      <c r="T31" s="24">
        <f t="shared" si="11"/>
        <v>25.931999999999999</v>
      </c>
      <c r="U31" s="24">
        <f t="shared" si="12"/>
        <v>48.03</v>
      </c>
      <c r="V31" s="24">
        <f t="shared" si="13"/>
        <v>6.7354999999999992</v>
      </c>
      <c r="Y31" s="168"/>
      <c r="Z31" s="168"/>
      <c r="AA31" s="168"/>
      <c r="AB31" s="168"/>
    </row>
    <row r="32" spans="1:28" ht="15">
      <c r="A32" s="130"/>
      <c r="B32" s="122" t="s">
        <v>52</v>
      </c>
      <c r="C32" s="129" t="s">
        <v>58</v>
      </c>
      <c r="D32" s="34"/>
      <c r="E32" s="35"/>
      <c r="F32" s="35"/>
      <c r="G32" s="35"/>
      <c r="H32" s="36"/>
      <c r="I32" s="34"/>
      <c r="J32" s="35"/>
      <c r="K32" s="35"/>
      <c r="L32" s="35"/>
      <c r="M32" s="36"/>
      <c r="N32" s="34"/>
      <c r="O32" s="35"/>
      <c r="P32" s="35"/>
      <c r="Q32" s="35"/>
      <c r="R32" s="36"/>
      <c r="S32" s="24">
        <f t="shared" si="4"/>
        <v>0</v>
      </c>
      <c r="T32" s="24">
        <f t="shared" si="11"/>
        <v>0</v>
      </c>
      <c r="U32" s="24">
        <f t="shared" si="12"/>
        <v>0</v>
      </c>
      <c r="V32" s="24">
        <f t="shared" si="13"/>
        <v>0</v>
      </c>
      <c r="Y32" s="168"/>
      <c r="Z32" s="168"/>
      <c r="AA32" s="168"/>
      <c r="AB32" s="168"/>
    </row>
    <row r="33" spans="1:28" ht="15.75" customHeight="1">
      <c r="A33" s="130"/>
      <c r="B33" s="122" t="s">
        <v>65</v>
      </c>
      <c r="C33" s="129" t="s">
        <v>58</v>
      </c>
      <c r="D33" s="39">
        <f>SUM(E33:H33)</f>
        <v>70.202000000000012</v>
      </c>
      <c r="E33" s="37">
        <v>23.771999999999998</v>
      </c>
      <c r="F33" s="37">
        <v>39.194000000000003</v>
      </c>
      <c r="G33" s="37">
        <v>7.226</v>
      </c>
      <c r="H33" s="38">
        <v>0.01</v>
      </c>
      <c r="I33" s="39">
        <f>SUM(J33:M33)</f>
        <v>68.021000000000001</v>
      </c>
      <c r="J33" s="37">
        <v>23.856999999999999</v>
      </c>
      <c r="K33" s="37">
        <v>38.045999999999999</v>
      </c>
      <c r="L33" s="37">
        <v>6.1079999999999997</v>
      </c>
      <c r="M33" s="38">
        <v>0.01</v>
      </c>
      <c r="N33" s="39">
        <f>SUM(O33:R33)</f>
        <v>69.112000000000009</v>
      </c>
      <c r="O33" s="37">
        <v>23.815000000000001</v>
      </c>
      <c r="P33" s="37">
        <v>38.619999999999997</v>
      </c>
      <c r="Q33" s="37">
        <v>6.6669999999999998</v>
      </c>
      <c r="R33" s="37">
        <v>0.01</v>
      </c>
      <c r="S33" s="24">
        <f t="shared" si="4"/>
        <v>69.111500000000007</v>
      </c>
      <c r="T33" s="24">
        <f t="shared" si="11"/>
        <v>23.814499999999999</v>
      </c>
      <c r="U33" s="24">
        <f t="shared" si="12"/>
        <v>38.620000000000005</v>
      </c>
      <c r="V33" s="24">
        <f t="shared" si="13"/>
        <v>6.6669999999999989</v>
      </c>
      <c r="Y33" s="168"/>
      <c r="Z33" s="168"/>
      <c r="AA33" s="168"/>
      <c r="AB33" s="168"/>
    </row>
    <row r="34" spans="1:28" ht="30">
      <c r="A34" s="130"/>
      <c r="B34" s="122" t="s">
        <v>66</v>
      </c>
      <c r="C34" s="129" t="s">
        <v>58</v>
      </c>
      <c r="D34" s="39"/>
      <c r="E34" s="37"/>
      <c r="F34" s="37"/>
      <c r="G34" s="37"/>
      <c r="H34" s="38"/>
      <c r="I34" s="39"/>
      <c r="J34" s="37"/>
      <c r="K34" s="37"/>
      <c r="L34" s="37"/>
      <c r="M34" s="38"/>
      <c r="N34" s="39"/>
      <c r="O34" s="37"/>
      <c r="P34" s="37"/>
      <c r="Q34" s="37"/>
      <c r="R34" s="38"/>
      <c r="S34" s="24">
        <f t="shared" si="4"/>
        <v>0</v>
      </c>
      <c r="T34" s="24">
        <f t="shared" si="11"/>
        <v>0</v>
      </c>
      <c r="U34" s="24">
        <f t="shared" si="12"/>
        <v>0</v>
      </c>
      <c r="V34" s="24">
        <f t="shared" si="13"/>
        <v>0</v>
      </c>
      <c r="Y34" s="168"/>
      <c r="Z34" s="168"/>
      <c r="AA34" s="168"/>
      <c r="AB34" s="168"/>
    </row>
    <row r="35" spans="1:28" ht="17.25" customHeight="1">
      <c r="A35" s="130"/>
      <c r="B35" s="122" t="s">
        <v>67</v>
      </c>
      <c r="C35" s="129" t="s">
        <v>58</v>
      </c>
      <c r="D35" s="39"/>
      <c r="E35" s="37"/>
      <c r="F35" s="37"/>
      <c r="G35" s="37"/>
      <c r="H35" s="38"/>
      <c r="I35" s="39"/>
      <c r="J35" s="37"/>
      <c r="K35" s="37"/>
      <c r="L35" s="37"/>
      <c r="M35" s="38"/>
      <c r="N35" s="39"/>
      <c r="O35" s="37"/>
      <c r="P35" s="37"/>
      <c r="Q35" s="37"/>
      <c r="R35" s="38"/>
      <c r="S35" s="24">
        <f t="shared" si="4"/>
        <v>0</v>
      </c>
      <c r="T35" s="24">
        <f t="shared" si="11"/>
        <v>0</v>
      </c>
      <c r="U35" s="24">
        <f t="shared" si="12"/>
        <v>0</v>
      </c>
      <c r="V35" s="24">
        <f t="shared" si="13"/>
        <v>0</v>
      </c>
      <c r="Y35" s="168"/>
      <c r="Z35" s="168"/>
      <c r="AA35" s="168"/>
      <c r="AB35" s="168"/>
    </row>
    <row r="36" spans="1:28" ht="17.25" customHeight="1">
      <c r="A36" s="130" t="s">
        <v>11</v>
      </c>
      <c r="B36" s="122" t="s">
        <v>55</v>
      </c>
      <c r="C36" s="129" t="s">
        <v>58</v>
      </c>
      <c r="D36" s="39">
        <f t="shared" ref="D36" si="16">E36+F36+G36</f>
        <v>11.837999999999999</v>
      </c>
      <c r="E36" s="37">
        <v>2.2669999999999999</v>
      </c>
      <c r="F36" s="37">
        <v>9.5060000000000002</v>
      </c>
      <c r="G36" s="37">
        <v>6.5000000000000002E-2</v>
      </c>
      <c r="H36" s="38"/>
      <c r="I36" s="39">
        <f t="shared" ref="I36" si="17">J36+K36+L36</f>
        <v>11.353999999999999</v>
      </c>
      <c r="J36" s="37">
        <v>1.968</v>
      </c>
      <c r="K36" s="37">
        <v>9.3140000000000001</v>
      </c>
      <c r="L36" s="37">
        <v>7.1999999999999995E-2</v>
      </c>
      <c r="M36" s="38"/>
      <c r="N36" s="39">
        <f>O36+P36+Q36</f>
        <v>11.596000000000002</v>
      </c>
      <c r="O36" s="37">
        <v>2.117</v>
      </c>
      <c r="P36" s="37">
        <v>9.41</v>
      </c>
      <c r="Q36" s="37">
        <v>6.9000000000000006E-2</v>
      </c>
      <c r="R36" s="38"/>
      <c r="S36" s="24">
        <f t="shared" si="4"/>
        <v>11.595999999999998</v>
      </c>
      <c r="T36" s="24">
        <f t="shared" si="11"/>
        <v>2.1175000000000002</v>
      </c>
      <c r="U36" s="24">
        <f t="shared" si="12"/>
        <v>9.41</v>
      </c>
      <c r="V36" s="24">
        <f t="shared" si="13"/>
        <v>6.8499999999999991E-2</v>
      </c>
      <c r="Y36" s="168"/>
      <c r="Z36" s="168"/>
      <c r="AA36" s="168"/>
      <c r="AB36" s="168"/>
    </row>
    <row r="37" spans="1:28" ht="15">
      <c r="A37" s="130" t="s">
        <v>27</v>
      </c>
      <c r="B37" s="122" t="s">
        <v>56</v>
      </c>
      <c r="C37" s="129" t="s">
        <v>58</v>
      </c>
      <c r="D37" s="39"/>
      <c r="E37" s="37"/>
      <c r="F37" s="37"/>
      <c r="G37" s="37"/>
      <c r="H37" s="38"/>
      <c r="I37" s="39"/>
      <c r="J37" s="37"/>
      <c r="K37" s="37"/>
      <c r="L37" s="37"/>
      <c r="M37" s="38"/>
      <c r="N37" s="39"/>
      <c r="O37" s="37"/>
      <c r="P37" s="37"/>
      <c r="Q37" s="37"/>
      <c r="R37" s="38"/>
      <c r="Y37" s="168"/>
      <c r="Z37" s="168"/>
      <c r="AA37" s="168"/>
      <c r="AB37" s="168"/>
    </row>
    <row r="38" spans="1:28" ht="36" customHeight="1">
      <c r="A38" s="40"/>
      <c r="B38" s="163"/>
      <c r="C38" s="164"/>
      <c r="D38" s="165"/>
      <c r="E38" s="165"/>
      <c r="F38" s="165"/>
      <c r="G38" s="165"/>
      <c r="H38" s="166"/>
      <c r="I38" s="165"/>
      <c r="J38" s="165"/>
      <c r="K38" s="165"/>
      <c r="L38" s="165"/>
      <c r="M38" s="166"/>
      <c r="N38" s="165"/>
      <c r="O38" s="165"/>
      <c r="P38" s="165"/>
      <c r="Q38" s="165"/>
    </row>
    <row r="39" spans="1:28" ht="14.25">
      <c r="G39" s="167"/>
      <c r="H39" s="160"/>
      <c r="I39" s="160"/>
      <c r="J39" s="160"/>
      <c r="K39" s="160"/>
      <c r="L39" s="167"/>
      <c r="M39" s="160"/>
      <c r="N39" s="160"/>
      <c r="O39" s="160"/>
      <c r="P39" s="160"/>
      <c r="Q39" s="167"/>
    </row>
    <row r="40" spans="1:28"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</row>
    <row r="42" spans="1:28">
      <c r="I42" s="169"/>
    </row>
    <row r="43" spans="1:28">
      <c r="I43" s="160"/>
    </row>
  </sheetData>
  <mergeCells count="7">
    <mergeCell ref="N4:R4"/>
    <mergeCell ref="A2:P2"/>
    <mergeCell ref="A4:A5"/>
    <mergeCell ref="B4:B5"/>
    <mergeCell ref="C4:C6"/>
    <mergeCell ref="D4:H4"/>
    <mergeCell ref="I4:M4"/>
  </mergeCells>
  <printOptions horizontalCentered="1"/>
  <pageMargins left="0.59055118110236227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2"/>
  <dimension ref="A1:W134"/>
  <sheetViews>
    <sheetView tabSelected="1" view="pageBreakPreview" zoomScaleNormal="75" zoomScaleSheetLayoutView="100" workbookViewId="0">
      <selection activeCell="Q25" sqref="Q25"/>
    </sheetView>
  </sheetViews>
  <sheetFormatPr defaultColWidth="9.140625" defaultRowHeight="12.75"/>
  <cols>
    <col min="1" max="1" width="5.28515625" style="41" customWidth="1"/>
    <col min="2" max="2" width="46" style="22" customWidth="1"/>
    <col min="3" max="3" width="11" style="42" customWidth="1"/>
    <col min="4" max="4" width="11.140625" style="42" customWidth="1"/>
    <col min="5" max="5" width="12.5703125" style="42" customWidth="1"/>
    <col min="6" max="6" width="9.7109375" style="42" customWidth="1"/>
    <col min="7" max="7" width="13.140625" style="42" customWidth="1"/>
    <col min="8" max="8" width="7.140625" style="42" customWidth="1"/>
    <col min="9" max="9" width="7.7109375" style="42" customWidth="1"/>
    <col min="10" max="10" width="7.28515625" style="42" customWidth="1"/>
    <col min="11" max="11" width="8" style="42" customWidth="1"/>
    <col min="12" max="12" width="5.85546875" style="42" customWidth="1"/>
    <col min="13" max="13" width="8.28515625" style="43" customWidth="1"/>
    <col min="14" max="14" width="5" style="22" customWidth="1"/>
    <col min="15" max="15" width="4.5703125" style="44" customWidth="1"/>
    <col min="16" max="17" width="4.42578125" style="44" customWidth="1"/>
    <col min="18" max="18" width="4.5703125" style="44" customWidth="1"/>
    <col min="19" max="22" width="4.28515625" style="22" customWidth="1"/>
    <col min="23" max="23" width="4.140625" style="22" customWidth="1"/>
    <col min="24" max="16384" width="9.140625" style="22"/>
  </cols>
  <sheetData>
    <row r="1" spans="1:23">
      <c r="K1" s="22"/>
      <c r="T1" s="42" t="s">
        <v>68</v>
      </c>
      <c r="W1" s="45"/>
    </row>
    <row r="3" spans="1:23" s="46" customFormat="1" ht="15.75">
      <c r="A3" s="210" t="s">
        <v>69</v>
      </c>
      <c r="B3" s="210"/>
      <c r="C3" s="210"/>
      <c r="D3" s="210"/>
      <c r="E3" s="210"/>
      <c r="F3" s="210"/>
      <c r="G3" s="210"/>
      <c r="H3" s="210"/>
      <c r="I3" s="211" t="str">
        <f>'П1.5'!B1</f>
        <v>АО "КузбассЭлектро"</v>
      </c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</row>
    <row r="5" spans="1:23" s="24" customFormat="1" ht="25.5" customHeight="1">
      <c r="A5" s="208" t="s">
        <v>70</v>
      </c>
      <c r="B5" s="208" t="s">
        <v>14</v>
      </c>
      <c r="C5" s="209" t="s">
        <v>71</v>
      </c>
      <c r="D5" s="209"/>
      <c r="E5" s="209"/>
      <c r="F5" s="209"/>
      <c r="G5" s="209"/>
      <c r="H5" s="212" t="s">
        <v>72</v>
      </c>
      <c r="I5" s="212"/>
      <c r="J5" s="212"/>
      <c r="K5" s="212"/>
      <c r="L5" s="212"/>
      <c r="M5" s="213" t="s">
        <v>73</v>
      </c>
      <c r="N5" s="214" t="s">
        <v>74</v>
      </c>
      <c r="O5" s="215"/>
      <c r="P5" s="215"/>
      <c r="Q5" s="215"/>
      <c r="R5" s="216"/>
      <c r="S5" s="217" t="s">
        <v>75</v>
      </c>
      <c r="T5" s="217"/>
      <c r="U5" s="217"/>
      <c r="V5" s="217"/>
      <c r="W5" s="217"/>
    </row>
    <row r="6" spans="1:23" s="24" customFormat="1" ht="18" customHeight="1">
      <c r="A6" s="208"/>
      <c r="B6" s="208"/>
      <c r="C6" s="47" t="s">
        <v>76</v>
      </c>
      <c r="D6" s="47" t="s">
        <v>6</v>
      </c>
      <c r="E6" s="47" t="s">
        <v>7</v>
      </c>
      <c r="F6" s="47" t="s">
        <v>77</v>
      </c>
      <c r="G6" s="47" t="s">
        <v>9</v>
      </c>
      <c r="H6" s="47" t="s">
        <v>76</v>
      </c>
      <c r="I6" s="47" t="s">
        <v>6</v>
      </c>
      <c r="J6" s="47" t="s">
        <v>7</v>
      </c>
      <c r="K6" s="47" t="s">
        <v>77</v>
      </c>
      <c r="L6" s="47" t="s">
        <v>9</v>
      </c>
      <c r="M6" s="213"/>
      <c r="N6" s="26" t="s">
        <v>76</v>
      </c>
      <c r="O6" s="48" t="s">
        <v>6</v>
      </c>
      <c r="P6" s="48" t="s">
        <v>7</v>
      </c>
      <c r="Q6" s="48" t="s">
        <v>77</v>
      </c>
      <c r="R6" s="48" t="s">
        <v>9</v>
      </c>
      <c r="S6" s="26" t="s">
        <v>76</v>
      </c>
      <c r="T6" s="26" t="s">
        <v>6</v>
      </c>
      <c r="U6" s="26" t="s">
        <v>7</v>
      </c>
      <c r="V6" s="26" t="s">
        <v>77</v>
      </c>
      <c r="W6" s="26" t="s">
        <v>9</v>
      </c>
    </row>
    <row r="7" spans="1:23" s="51" customFormat="1" ht="13.5" customHeight="1">
      <c r="A7" s="49">
        <v>1</v>
      </c>
      <c r="B7" s="50">
        <f t="shared" ref="B7:W7" si="0">+A7+1</f>
        <v>2</v>
      </c>
      <c r="C7" s="50">
        <f>+B7+1</f>
        <v>3</v>
      </c>
      <c r="D7" s="50">
        <f t="shared" si="0"/>
        <v>4</v>
      </c>
      <c r="E7" s="50">
        <f t="shared" si="0"/>
        <v>5</v>
      </c>
      <c r="F7" s="50">
        <f t="shared" si="0"/>
        <v>6</v>
      </c>
      <c r="G7" s="50">
        <f t="shared" si="0"/>
        <v>7</v>
      </c>
      <c r="H7" s="50">
        <f t="shared" si="0"/>
        <v>8</v>
      </c>
      <c r="I7" s="50">
        <f t="shared" si="0"/>
        <v>9</v>
      </c>
      <c r="J7" s="50">
        <f t="shared" si="0"/>
        <v>10</v>
      </c>
      <c r="K7" s="50">
        <f t="shared" si="0"/>
        <v>11</v>
      </c>
      <c r="L7" s="50">
        <f t="shared" si="0"/>
        <v>12</v>
      </c>
      <c r="M7" s="50">
        <f t="shared" si="0"/>
        <v>13</v>
      </c>
      <c r="N7" s="50">
        <f t="shared" si="0"/>
        <v>14</v>
      </c>
      <c r="O7" s="50">
        <f t="shared" si="0"/>
        <v>15</v>
      </c>
      <c r="P7" s="50">
        <f t="shared" si="0"/>
        <v>16</v>
      </c>
      <c r="Q7" s="50">
        <f t="shared" si="0"/>
        <v>17</v>
      </c>
      <c r="R7" s="50">
        <f t="shared" si="0"/>
        <v>18</v>
      </c>
      <c r="S7" s="50">
        <f t="shared" si="0"/>
        <v>19</v>
      </c>
      <c r="T7" s="50">
        <f t="shared" si="0"/>
        <v>20</v>
      </c>
      <c r="U7" s="50">
        <f t="shared" si="0"/>
        <v>21</v>
      </c>
      <c r="V7" s="50">
        <f t="shared" si="0"/>
        <v>22</v>
      </c>
      <c r="W7" s="50">
        <f t="shared" si="0"/>
        <v>23</v>
      </c>
    </row>
    <row r="8" spans="1:23" ht="15" customHeight="1">
      <c r="A8" s="205" t="str">
        <f>'П1.5'!D4</f>
        <v>Факт 1 полугодие 2024г.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7"/>
    </row>
    <row r="9" spans="1:23" s="24" customFormat="1">
      <c r="A9" s="133">
        <v>1</v>
      </c>
      <c r="B9" s="134" t="s">
        <v>16</v>
      </c>
      <c r="C9" s="57">
        <f>SUM(D9:G9)</f>
        <v>1101.8789999999999</v>
      </c>
      <c r="D9" s="57">
        <f>D11+D12</f>
        <v>182.828</v>
      </c>
      <c r="E9" s="57">
        <f>SUM(E11:E13)</f>
        <v>0</v>
      </c>
      <c r="F9" s="57">
        <f>F11+F12+F13+F16</f>
        <v>886.37299999999993</v>
      </c>
      <c r="G9" s="57">
        <f>G11+G12+G13+G16</f>
        <v>32.677999999999997</v>
      </c>
      <c r="H9" s="154">
        <f>SUM(I9:L9)</f>
        <v>0.315</v>
      </c>
      <c r="I9" s="154">
        <f>I11+I12</f>
        <v>5.1999999999999998E-2</v>
      </c>
      <c r="J9" s="154">
        <f>SUM(J11:J14)</f>
        <v>0</v>
      </c>
      <c r="K9" s="154">
        <f>K12+K13+K16+K11</f>
        <v>0.253</v>
      </c>
      <c r="L9" s="154">
        <f>L12+L13+L16+L11</f>
        <v>0.01</v>
      </c>
      <c r="M9" s="112">
        <f>C9/H9</f>
        <v>3498.028571428571</v>
      </c>
      <c r="N9" s="58"/>
      <c r="O9" s="113"/>
      <c r="P9" s="113"/>
      <c r="Q9" s="113"/>
      <c r="R9" s="113"/>
      <c r="S9" s="113"/>
      <c r="T9" s="113"/>
      <c r="U9" s="113"/>
      <c r="V9" s="113"/>
      <c r="W9" s="113"/>
    </row>
    <row r="10" spans="1:23">
      <c r="A10" s="135" t="s">
        <v>25</v>
      </c>
      <c r="B10" s="177" t="s">
        <v>17</v>
      </c>
      <c r="C10" s="57"/>
      <c r="D10" s="52"/>
      <c r="E10" s="52"/>
      <c r="F10" s="52"/>
      <c r="G10" s="52"/>
      <c r="H10" s="57"/>
      <c r="I10" s="52"/>
      <c r="J10" s="52"/>
      <c r="K10" s="52"/>
      <c r="L10" s="52"/>
      <c r="M10" s="112"/>
      <c r="N10" s="58"/>
      <c r="O10" s="53"/>
      <c r="P10" s="53"/>
      <c r="Q10" s="53"/>
      <c r="R10" s="53"/>
      <c r="S10" s="54"/>
      <c r="T10" s="55"/>
      <c r="U10" s="55"/>
      <c r="V10" s="55"/>
      <c r="W10" s="55"/>
    </row>
    <row r="11" spans="1:23" s="24" customFormat="1" ht="13.5" customHeight="1">
      <c r="A11" s="135" t="s">
        <v>78</v>
      </c>
      <c r="B11" s="177" t="s">
        <v>79</v>
      </c>
      <c r="C11" s="57">
        <f>D11+F11</f>
        <v>73.453000000000003</v>
      </c>
      <c r="D11" s="52"/>
      <c r="E11" s="52"/>
      <c r="F11" s="52">
        <v>73.453000000000003</v>
      </c>
      <c r="G11" s="52"/>
      <c r="H11" s="57">
        <f>I11+K11</f>
        <v>2.1000000000000001E-2</v>
      </c>
      <c r="I11" s="52"/>
      <c r="J11" s="52"/>
      <c r="K11" s="52">
        <v>2.1000000000000001E-2</v>
      </c>
      <c r="L11" s="52"/>
      <c r="M11" s="112">
        <f t="shared" ref="M11:M46" si="1">C11/H11</f>
        <v>3497.7619047619046</v>
      </c>
      <c r="N11" s="58"/>
      <c r="O11" s="53"/>
      <c r="P11" s="53"/>
      <c r="Q11" s="53"/>
      <c r="R11" s="53"/>
      <c r="S11" s="54"/>
      <c r="T11" s="55"/>
      <c r="U11" s="55"/>
      <c r="V11" s="55"/>
      <c r="W11" s="55"/>
    </row>
    <row r="12" spans="1:23" s="24" customFormat="1">
      <c r="A12" s="135" t="s">
        <v>80</v>
      </c>
      <c r="B12" s="177" t="s">
        <v>81</v>
      </c>
      <c r="C12" s="57">
        <f>SUM(D12:G12)</f>
        <v>1014.626</v>
      </c>
      <c r="D12" s="52">
        <v>182.828</v>
      </c>
      <c r="E12" s="52"/>
      <c r="F12" s="52">
        <v>799.12</v>
      </c>
      <c r="G12" s="52">
        <v>32.677999999999997</v>
      </c>
      <c r="H12" s="57">
        <f>SUM(I12:L12)</f>
        <v>0.29000000000000004</v>
      </c>
      <c r="I12" s="52">
        <v>5.1999999999999998E-2</v>
      </c>
      <c r="J12" s="52"/>
      <c r="K12" s="52">
        <v>0.22800000000000001</v>
      </c>
      <c r="L12" s="52">
        <v>0.01</v>
      </c>
      <c r="M12" s="112">
        <f t="shared" si="1"/>
        <v>3498.7103448275857</v>
      </c>
      <c r="N12" s="58"/>
      <c r="O12" s="53"/>
      <c r="P12" s="53"/>
      <c r="Q12" s="53"/>
      <c r="R12" s="53"/>
      <c r="S12" s="54"/>
      <c r="T12" s="55"/>
      <c r="U12" s="55"/>
      <c r="V12" s="55"/>
      <c r="W12" s="55"/>
    </row>
    <row r="13" spans="1:23" s="24" customFormat="1">
      <c r="A13" s="135" t="s">
        <v>82</v>
      </c>
      <c r="B13" s="177" t="s">
        <v>83</v>
      </c>
      <c r="C13" s="57">
        <f>SUM(D13:F13)</f>
        <v>0</v>
      </c>
      <c r="D13" s="52"/>
      <c r="E13" s="52"/>
      <c r="F13" s="52"/>
      <c r="G13" s="52"/>
      <c r="H13" s="57">
        <f>SUM(I13:K13)</f>
        <v>0</v>
      </c>
      <c r="I13" s="52"/>
      <c r="J13" s="52"/>
      <c r="K13" s="52"/>
      <c r="L13" s="52"/>
      <c r="M13" s="112"/>
      <c r="N13" s="58"/>
      <c r="O13" s="53"/>
      <c r="P13" s="53"/>
      <c r="Q13" s="53"/>
      <c r="R13" s="53"/>
      <c r="S13" s="54"/>
      <c r="T13" s="55"/>
      <c r="U13" s="55"/>
      <c r="V13" s="55"/>
      <c r="W13" s="55"/>
    </row>
    <row r="14" spans="1:23" s="24" customFormat="1">
      <c r="A14" s="135" t="s">
        <v>26</v>
      </c>
      <c r="B14" s="177" t="s">
        <v>18</v>
      </c>
      <c r="C14" s="57"/>
      <c r="D14" s="52"/>
      <c r="E14" s="52"/>
      <c r="F14" s="52"/>
      <c r="G14" s="52"/>
      <c r="H14" s="57"/>
      <c r="I14" s="52"/>
      <c r="J14" s="52"/>
      <c r="K14" s="52"/>
      <c r="L14" s="52"/>
      <c r="M14" s="112"/>
      <c r="N14" s="58"/>
      <c r="O14" s="53"/>
      <c r="P14" s="53"/>
      <c r="Q14" s="53"/>
      <c r="R14" s="53"/>
      <c r="S14" s="54"/>
      <c r="T14" s="55"/>
      <c r="U14" s="55"/>
      <c r="V14" s="55"/>
      <c r="W14" s="55"/>
    </row>
    <row r="15" spans="1:23" s="24" customFormat="1">
      <c r="A15" s="135" t="s">
        <v>84</v>
      </c>
      <c r="B15" s="177" t="s">
        <v>79</v>
      </c>
      <c r="C15" s="57"/>
      <c r="D15" s="52"/>
      <c r="E15" s="52"/>
      <c r="F15" s="52"/>
      <c r="G15" s="52"/>
      <c r="H15" s="57"/>
      <c r="I15" s="52"/>
      <c r="J15" s="52"/>
      <c r="K15" s="52"/>
      <c r="L15" s="52"/>
      <c r="M15" s="112"/>
      <c r="N15" s="58"/>
      <c r="O15" s="53"/>
      <c r="P15" s="53"/>
      <c r="Q15" s="53"/>
      <c r="R15" s="53"/>
      <c r="S15" s="54"/>
      <c r="T15" s="55"/>
      <c r="U15" s="55"/>
      <c r="V15" s="55"/>
      <c r="W15" s="55"/>
    </row>
    <row r="16" spans="1:23" s="24" customFormat="1">
      <c r="A16" s="135" t="s">
        <v>85</v>
      </c>
      <c r="B16" s="177" t="s">
        <v>86</v>
      </c>
      <c r="C16" s="57">
        <f>D16+F16</f>
        <v>13.8</v>
      </c>
      <c r="D16" s="52"/>
      <c r="E16" s="52"/>
      <c r="F16" s="52">
        <v>13.8</v>
      </c>
      <c r="G16" s="52"/>
      <c r="H16" s="57">
        <f>I16+K16</f>
        <v>4.0000000000000001E-3</v>
      </c>
      <c r="I16" s="52"/>
      <c r="J16" s="52"/>
      <c r="K16" s="52">
        <v>4.0000000000000001E-3</v>
      </c>
      <c r="L16" s="52"/>
      <c r="M16" s="112">
        <f t="shared" si="1"/>
        <v>3450</v>
      </c>
      <c r="N16" s="58"/>
      <c r="O16" s="113"/>
      <c r="P16" s="113"/>
      <c r="Q16" s="113"/>
      <c r="R16" s="113"/>
      <c r="S16" s="113"/>
      <c r="T16" s="113"/>
      <c r="U16" s="113"/>
      <c r="V16" s="113"/>
      <c r="W16" s="113"/>
    </row>
    <row r="17" spans="1:23" s="24" customFormat="1">
      <c r="A17" s="133" t="s">
        <v>19</v>
      </c>
      <c r="B17" s="178" t="s">
        <v>20</v>
      </c>
      <c r="C17" s="57">
        <f>C21+C27</f>
        <v>270232.85800000001</v>
      </c>
      <c r="D17" s="57">
        <f>D21+D27</f>
        <v>90868.132000000012</v>
      </c>
      <c r="E17" s="57">
        <f>E21+E27</f>
        <v>155970.48199999999</v>
      </c>
      <c r="F17" s="57">
        <f>F21+F27</f>
        <v>23394.243999999999</v>
      </c>
      <c r="G17" s="57"/>
      <c r="H17" s="57">
        <f t="shared" ref="H17" si="2">I17+J17+K17</f>
        <v>69.887</v>
      </c>
      <c r="I17" s="57">
        <f>I21+I27</f>
        <v>23.72</v>
      </c>
      <c r="J17" s="57">
        <f>J21+J27</f>
        <v>39.194000000000003</v>
      </c>
      <c r="K17" s="57">
        <f>K21+K27</f>
        <v>6.9729999999999999</v>
      </c>
      <c r="L17" s="57"/>
      <c r="M17" s="112">
        <f t="shared" si="1"/>
        <v>3866.7113769370558</v>
      </c>
      <c r="N17" s="58"/>
      <c r="O17" s="113"/>
      <c r="P17" s="113"/>
      <c r="Q17" s="113"/>
      <c r="R17" s="113"/>
      <c r="S17" s="113"/>
      <c r="T17" s="113"/>
      <c r="U17" s="113"/>
      <c r="V17" s="113"/>
      <c r="W17" s="113"/>
    </row>
    <row r="18" spans="1:23" s="24" customFormat="1">
      <c r="A18" s="135" t="s">
        <v>42</v>
      </c>
      <c r="B18" s="179" t="s">
        <v>87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112"/>
      <c r="N18" s="58"/>
      <c r="O18" s="113"/>
      <c r="P18" s="113"/>
      <c r="Q18" s="113"/>
      <c r="R18" s="113"/>
      <c r="S18" s="113"/>
      <c r="T18" s="113"/>
      <c r="U18" s="113"/>
      <c r="V18" s="113"/>
      <c r="W18" s="113"/>
    </row>
    <row r="19" spans="1:23">
      <c r="A19" s="138"/>
      <c r="B19" s="179" t="s">
        <v>284</v>
      </c>
      <c r="C19" s="57"/>
      <c r="D19" s="52"/>
      <c r="E19" s="52"/>
      <c r="F19" s="52"/>
      <c r="G19" s="52"/>
      <c r="H19" s="57"/>
      <c r="I19" s="52"/>
      <c r="J19" s="52"/>
      <c r="K19" s="52"/>
      <c r="L19" s="52"/>
      <c r="M19" s="112"/>
      <c r="N19" s="58"/>
      <c r="O19" s="53"/>
      <c r="P19" s="53"/>
      <c r="Q19" s="53"/>
      <c r="R19" s="53"/>
      <c r="S19" s="59"/>
      <c r="T19" s="55"/>
      <c r="U19" s="55"/>
      <c r="V19" s="55"/>
      <c r="W19" s="55"/>
    </row>
    <row r="20" spans="1:23">
      <c r="A20" s="135"/>
      <c r="B20" s="179" t="s">
        <v>90</v>
      </c>
      <c r="C20" s="57"/>
      <c r="D20" s="52"/>
      <c r="E20" s="52"/>
      <c r="F20" s="52"/>
      <c r="G20" s="52"/>
      <c r="H20" s="57"/>
      <c r="I20" s="52"/>
      <c r="J20" s="52"/>
      <c r="K20" s="52"/>
      <c r="L20" s="52"/>
      <c r="M20" s="112"/>
      <c r="N20" s="58"/>
      <c r="O20" s="53"/>
      <c r="P20" s="53"/>
      <c r="Q20" s="53"/>
      <c r="R20" s="53"/>
      <c r="S20" s="59"/>
      <c r="T20" s="55"/>
      <c r="U20" s="55"/>
      <c r="V20" s="55"/>
      <c r="W20" s="55"/>
    </row>
    <row r="21" spans="1:23" s="24" customFormat="1">
      <c r="A21" s="135" t="s">
        <v>46</v>
      </c>
      <c r="B21" s="180" t="s">
        <v>91</v>
      </c>
      <c r="C21" s="57">
        <f t="shared" ref="C21:C25" si="3">D21+E21+F21</f>
        <v>42082.66</v>
      </c>
      <c r="D21" s="57">
        <f>SUM(D22:D26)</f>
        <v>10475.220999999998</v>
      </c>
      <c r="E21" s="57">
        <f>SUM(E22:E26)</f>
        <v>23724.704000000002</v>
      </c>
      <c r="F21" s="57">
        <f>SUM(F22:F26)</f>
        <v>7882.7349999999997</v>
      </c>
      <c r="G21" s="57"/>
      <c r="H21" s="57">
        <f t="shared" ref="H21:H45" si="4">I21+J21+K21</f>
        <v>12.266999999999999</v>
      </c>
      <c r="I21" s="57">
        <f>SUM(I22:I26)</f>
        <v>2.5649999999999999</v>
      </c>
      <c r="J21" s="57">
        <f>SUM(J22:J26)</f>
        <v>6.875</v>
      </c>
      <c r="K21" s="57">
        <f>SUM(K22:K26)</f>
        <v>2.827</v>
      </c>
      <c r="L21" s="57"/>
      <c r="M21" s="112">
        <f t="shared" si="1"/>
        <v>3430.5584087388934</v>
      </c>
      <c r="N21" s="58"/>
      <c r="O21" s="113"/>
      <c r="P21" s="113"/>
      <c r="Q21" s="113"/>
      <c r="R21" s="113"/>
      <c r="S21" s="113"/>
      <c r="T21" s="113"/>
      <c r="U21" s="113"/>
      <c r="V21" s="113"/>
      <c r="W21" s="113"/>
    </row>
    <row r="22" spans="1:23">
      <c r="A22" s="135"/>
      <c r="B22" s="181" t="s">
        <v>267</v>
      </c>
      <c r="C22" s="57">
        <f t="shared" si="3"/>
        <v>12337.826000000001</v>
      </c>
      <c r="D22" s="60">
        <v>5070.4539999999997</v>
      </c>
      <c r="E22" s="60">
        <v>1360.3140000000001</v>
      </c>
      <c r="F22" s="60">
        <v>5907.058</v>
      </c>
      <c r="G22" s="52"/>
      <c r="H22" s="57">
        <f t="shared" si="4"/>
        <v>3.5300000000000002</v>
      </c>
      <c r="I22" s="60">
        <v>1.2030000000000001</v>
      </c>
      <c r="J22" s="60">
        <v>0.34</v>
      </c>
      <c r="K22" s="60">
        <v>1.9870000000000001</v>
      </c>
      <c r="L22" s="52"/>
      <c r="M22" s="112">
        <f t="shared" si="1"/>
        <v>3495.1348441926348</v>
      </c>
      <c r="N22" s="58"/>
      <c r="O22" s="61"/>
      <c r="P22" s="61"/>
      <c r="Q22" s="61"/>
      <c r="R22" s="61"/>
      <c r="S22" s="59"/>
      <c r="T22" s="55"/>
      <c r="U22" s="55"/>
      <c r="V22" s="55"/>
      <c r="W22" s="55"/>
    </row>
    <row r="23" spans="1:23">
      <c r="A23" s="135"/>
      <c r="B23" s="181" t="s">
        <v>232</v>
      </c>
      <c r="C23" s="57">
        <f t="shared" si="3"/>
        <v>5288.3339999999998</v>
      </c>
      <c r="D23" s="60">
        <v>5283.7889999999998</v>
      </c>
      <c r="E23" s="60"/>
      <c r="F23" s="60">
        <v>4.5449999999999999</v>
      </c>
      <c r="G23" s="52"/>
      <c r="H23" s="57">
        <f t="shared" si="4"/>
        <v>1.319</v>
      </c>
      <c r="I23" s="60">
        <v>1.3180000000000001</v>
      </c>
      <c r="J23" s="60"/>
      <c r="K23" s="60">
        <v>1E-3</v>
      </c>
      <c r="L23" s="52"/>
      <c r="M23" s="112">
        <f t="shared" si="1"/>
        <v>4009.3510235026533</v>
      </c>
      <c r="N23" s="58"/>
      <c r="O23" s="61"/>
      <c r="P23" s="61"/>
      <c r="Q23" s="61"/>
      <c r="R23" s="61"/>
      <c r="S23" s="59"/>
      <c r="T23" s="59"/>
      <c r="U23" s="55"/>
      <c r="V23" s="55"/>
      <c r="W23" s="55"/>
    </row>
    <row r="24" spans="1:23">
      <c r="A24" s="135"/>
      <c r="B24" s="179" t="s">
        <v>281</v>
      </c>
      <c r="C24" s="57">
        <f t="shared" si="3"/>
        <v>482.79300000000001</v>
      </c>
      <c r="D24" s="52"/>
      <c r="E24" s="60">
        <v>482.79300000000001</v>
      </c>
      <c r="F24" s="60"/>
      <c r="G24" s="52"/>
      <c r="H24" s="57">
        <f t="shared" si="4"/>
        <v>0.13800000000000001</v>
      </c>
      <c r="I24" s="60"/>
      <c r="J24" s="60">
        <v>0.13800000000000001</v>
      </c>
      <c r="K24" s="60"/>
      <c r="L24" s="52"/>
      <c r="M24" s="112">
        <f t="shared" si="1"/>
        <v>3498.4999999999995</v>
      </c>
      <c r="N24" s="58"/>
      <c r="O24" s="61"/>
      <c r="P24" s="61"/>
      <c r="Q24" s="61"/>
      <c r="R24" s="61"/>
      <c r="S24" s="59"/>
      <c r="T24" s="59"/>
      <c r="U24" s="55"/>
      <c r="V24" s="55"/>
      <c r="W24" s="55"/>
    </row>
    <row r="25" spans="1:23">
      <c r="A25" s="135"/>
      <c r="B25" s="181" t="s">
        <v>282</v>
      </c>
      <c r="C25" s="57">
        <f t="shared" si="3"/>
        <v>7.968</v>
      </c>
      <c r="D25" s="52"/>
      <c r="E25" s="52"/>
      <c r="F25" s="60">
        <v>7.968</v>
      </c>
      <c r="G25" s="52"/>
      <c r="H25" s="57">
        <f t="shared" si="4"/>
        <v>2E-3</v>
      </c>
      <c r="I25" s="60"/>
      <c r="J25" s="60"/>
      <c r="K25" s="60">
        <v>2E-3</v>
      </c>
      <c r="L25" s="52"/>
      <c r="M25" s="112">
        <f t="shared" si="1"/>
        <v>3984</v>
      </c>
      <c r="N25" s="58"/>
      <c r="O25" s="61"/>
      <c r="P25" s="61"/>
      <c r="Q25" s="61"/>
      <c r="R25" s="61"/>
      <c r="S25" s="59"/>
      <c r="T25" s="59"/>
      <c r="U25" s="55"/>
      <c r="V25" s="55"/>
      <c r="W25" s="55"/>
    </row>
    <row r="26" spans="1:23">
      <c r="A26" s="135"/>
      <c r="B26" s="179" t="s">
        <v>266</v>
      </c>
      <c r="C26" s="57">
        <f>D26+E26+F26</f>
        <v>23965.739000000001</v>
      </c>
      <c r="D26" s="52">
        <v>120.97799999999999</v>
      </c>
      <c r="E26" s="52">
        <v>21881.597000000002</v>
      </c>
      <c r="F26" s="52">
        <v>1963.164</v>
      </c>
      <c r="G26" s="52"/>
      <c r="H26" s="57">
        <f t="shared" si="4"/>
        <v>7.2779999999999996</v>
      </c>
      <c r="I26" s="52">
        <v>4.3999999999999997E-2</v>
      </c>
      <c r="J26" s="52">
        <v>6.3970000000000002</v>
      </c>
      <c r="K26" s="52">
        <v>0.83699999999999997</v>
      </c>
      <c r="L26" s="52"/>
      <c r="M26" s="112">
        <f t="shared" si="1"/>
        <v>3292.901758724925</v>
      </c>
      <c r="N26" s="58"/>
      <c r="O26" s="61"/>
      <c r="P26" s="61"/>
      <c r="Q26" s="61"/>
      <c r="R26" s="61"/>
      <c r="S26" s="59"/>
      <c r="T26" s="55"/>
      <c r="U26" s="55"/>
      <c r="V26" s="55"/>
      <c r="W26" s="55"/>
    </row>
    <row r="27" spans="1:23" s="24" customFormat="1">
      <c r="A27" s="135" t="s">
        <v>92</v>
      </c>
      <c r="B27" s="180" t="s">
        <v>93</v>
      </c>
      <c r="C27" s="57">
        <f>D27+E27+F27</f>
        <v>228150.198</v>
      </c>
      <c r="D27" s="57">
        <f>SUM(D28:D37)</f>
        <v>80392.911000000007</v>
      </c>
      <c r="E27" s="57">
        <f>SUM(E28:E37)</f>
        <v>132245.77799999999</v>
      </c>
      <c r="F27" s="57">
        <f>SUM(F28:F37)</f>
        <v>15511.509</v>
      </c>
      <c r="G27" s="57"/>
      <c r="H27" s="57">
        <f>I27+J27+K27</f>
        <v>57.620000000000005</v>
      </c>
      <c r="I27" s="57">
        <f>SUM(I28:I37)</f>
        <v>21.154999999999998</v>
      </c>
      <c r="J27" s="57">
        <f t="shared" ref="J27:L27" si="5">SUM(J28:J37)</f>
        <v>32.319000000000003</v>
      </c>
      <c r="K27" s="57">
        <f t="shared" si="5"/>
        <v>4.1459999999999999</v>
      </c>
      <c r="L27" s="57">
        <f t="shared" si="5"/>
        <v>0</v>
      </c>
      <c r="M27" s="112">
        <f t="shared" si="1"/>
        <v>3959.5660881638319</v>
      </c>
      <c r="N27" s="58"/>
      <c r="O27" s="113"/>
      <c r="P27" s="113"/>
      <c r="Q27" s="113"/>
      <c r="R27" s="113"/>
      <c r="S27" s="113"/>
      <c r="T27" s="113"/>
      <c r="U27" s="113"/>
      <c r="V27" s="113"/>
      <c r="W27" s="113"/>
    </row>
    <row r="28" spans="1:23">
      <c r="A28" s="135"/>
      <c r="B28" s="181" t="s">
        <v>230</v>
      </c>
      <c r="C28" s="57">
        <f>D28+F28+E28</f>
        <v>20617.951000000001</v>
      </c>
      <c r="D28" s="52">
        <v>16678.252</v>
      </c>
      <c r="E28" s="52"/>
      <c r="F28" s="52">
        <v>3939.6990000000001</v>
      </c>
      <c r="G28" s="52"/>
      <c r="H28" s="57">
        <f t="shared" ref="H28" si="6">I28+J28+K28</f>
        <v>5.4349999999999996</v>
      </c>
      <c r="I28" s="60">
        <v>4.3819999999999997</v>
      </c>
      <c r="J28" s="60"/>
      <c r="K28" s="60">
        <v>1.0529999999999999</v>
      </c>
      <c r="L28" s="52"/>
      <c r="M28" s="112">
        <f t="shared" si="1"/>
        <v>3793.5512419503225</v>
      </c>
      <c r="N28" s="58"/>
      <c r="O28" s="61"/>
      <c r="P28" s="61"/>
      <c r="Q28" s="61"/>
      <c r="R28" s="61"/>
      <c r="S28" s="59"/>
      <c r="T28" s="55"/>
      <c r="U28" s="55"/>
      <c r="V28" s="55"/>
      <c r="W28" s="55"/>
    </row>
    <row r="29" spans="1:23" ht="14.25" hidden="1" customHeight="1">
      <c r="A29" s="135"/>
      <c r="B29" s="181" t="s">
        <v>233</v>
      </c>
      <c r="C29" s="57">
        <f t="shared" ref="C29" si="7">D29+E29+F29</f>
        <v>0</v>
      </c>
      <c r="D29" s="60"/>
      <c r="E29" s="60"/>
      <c r="F29" s="60"/>
      <c r="G29" s="52"/>
      <c r="H29" s="57">
        <f>I29+J29+K29</f>
        <v>0</v>
      </c>
      <c r="I29" s="60"/>
      <c r="J29" s="60"/>
      <c r="K29" s="60"/>
      <c r="L29" s="52"/>
      <c r="M29" s="112" t="e">
        <f t="shared" ref="M29" si="8">C29/H29</f>
        <v>#DIV/0!</v>
      </c>
      <c r="N29" s="58"/>
      <c r="O29" s="61"/>
      <c r="P29" s="61"/>
      <c r="Q29" s="61"/>
      <c r="R29" s="61"/>
      <c r="S29" s="59"/>
      <c r="T29" s="59"/>
      <c r="U29" s="59"/>
      <c r="V29" s="59"/>
      <c r="W29" s="55"/>
    </row>
    <row r="30" spans="1:23" ht="14.25" hidden="1" customHeight="1">
      <c r="A30" s="135"/>
      <c r="B30" s="181" t="s">
        <v>273</v>
      </c>
      <c r="C30" s="57">
        <f t="shared" ref="C30:C31" si="9">D30+F30+E30</f>
        <v>0</v>
      </c>
      <c r="D30" s="52"/>
      <c r="E30" s="52"/>
      <c r="F30" s="52"/>
      <c r="G30" s="52"/>
      <c r="H30" s="57">
        <f t="shared" si="4"/>
        <v>0</v>
      </c>
      <c r="I30" s="52"/>
      <c r="J30" s="52"/>
      <c r="K30" s="52"/>
      <c r="L30" s="52"/>
      <c r="M30" s="112" t="e">
        <f t="shared" si="1"/>
        <v>#DIV/0!</v>
      </c>
      <c r="N30" s="58"/>
      <c r="O30" s="61"/>
      <c r="P30" s="61"/>
      <c r="Q30" s="61"/>
      <c r="R30" s="61"/>
      <c r="S30" s="59"/>
      <c r="T30" s="59"/>
      <c r="U30" s="59"/>
      <c r="V30" s="59"/>
      <c r="W30" s="55"/>
    </row>
    <row r="31" spans="1:23" ht="14.25" customHeight="1">
      <c r="A31" s="135"/>
      <c r="B31" s="181" t="s">
        <v>231</v>
      </c>
      <c r="C31" s="57">
        <f t="shared" si="9"/>
        <v>13529.471</v>
      </c>
      <c r="D31" s="52">
        <v>13529.471</v>
      </c>
      <c r="E31" s="52"/>
      <c r="F31" s="52"/>
      <c r="G31" s="52"/>
      <c r="H31" s="57">
        <f t="shared" si="4"/>
        <v>3.3759999999999999</v>
      </c>
      <c r="I31" s="52">
        <v>3.3759999999999999</v>
      </c>
      <c r="J31" s="52"/>
      <c r="K31" s="52"/>
      <c r="L31" s="52"/>
      <c r="M31" s="112">
        <f t="shared" si="1"/>
        <v>4007.5447274881517</v>
      </c>
      <c r="N31" s="58"/>
      <c r="O31" s="61"/>
      <c r="P31" s="61"/>
      <c r="Q31" s="61"/>
      <c r="R31" s="61"/>
      <c r="S31" s="59"/>
      <c r="T31" s="59"/>
      <c r="U31" s="59"/>
      <c r="V31" s="59"/>
      <c r="W31" s="55"/>
    </row>
    <row r="32" spans="1:23" ht="14.25" customHeight="1">
      <c r="A32" s="135"/>
      <c r="B32" s="182" t="s">
        <v>254</v>
      </c>
      <c r="C32" s="57">
        <f t="shared" ref="C32" si="10">D32+F32+E32</f>
        <v>165347.986</v>
      </c>
      <c r="D32" s="52">
        <v>29519.866000000002</v>
      </c>
      <c r="E32" s="52">
        <v>128267.19899999999</v>
      </c>
      <c r="F32" s="52">
        <v>7560.9210000000003</v>
      </c>
      <c r="G32" s="52"/>
      <c r="H32" s="57">
        <f t="shared" ref="H32:H33" si="11">I32+J32+K32</f>
        <v>41.051000000000002</v>
      </c>
      <c r="I32" s="52">
        <v>7.6980000000000004</v>
      </c>
      <c r="J32" s="52">
        <v>31.384</v>
      </c>
      <c r="K32" s="52">
        <v>1.9690000000000001</v>
      </c>
      <c r="L32" s="52"/>
      <c r="M32" s="112">
        <f t="shared" ref="M32:M36" si="12">C32/H32</f>
        <v>4027.8674331928578</v>
      </c>
      <c r="N32" s="58"/>
      <c r="O32" s="61"/>
      <c r="P32" s="61"/>
      <c r="Q32" s="61"/>
      <c r="R32" s="61"/>
      <c r="S32" s="59"/>
      <c r="T32" s="59"/>
      <c r="U32" s="59"/>
      <c r="V32" s="59"/>
      <c r="W32" s="55"/>
    </row>
    <row r="33" spans="1:23" ht="14.25" hidden="1" customHeight="1">
      <c r="A33" s="135"/>
      <c r="B33" s="182" t="s">
        <v>233</v>
      </c>
      <c r="C33" s="57">
        <f t="shared" ref="C33" si="13">D33+F33+E33</f>
        <v>0</v>
      </c>
      <c r="D33" s="52"/>
      <c r="E33" s="52"/>
      <c r="F33" s="52"/>
      <c r="G33" s="52"/>
      <c r="H33" s="57">
        <f t="shared" si="11"/>
        <v>0</v>
      </c>
      <c r="I33" s="52"/>
      <c r="J33" s="52"/>
      <c r="K33" s="52"/>
      <c r="L33" s="52"/>
      <c r="M33" s="112" t="e">
        <f t="shared" si="12"/>
        <v>#DIV/0!</v>
      </c>
      <c r="N33" s="58"/>
      <c r="O33" s="61"/>
      <c r="P33" s="61"/>
      <c r="Q33" s="61"/>
      <c r="R33" s="61"/>
      <c r="S33" s="59"/>
      <c r="T33" s="59"/>
      <c r="U33" s="59"/>
      <c r="V33" s="59"/>
      <c r="W33" s="55"/>
    </row>
    <row r="34" spans="1:23" ht="14.25" customHeight="1">
      <c r="A34" s="135"/>
      <c r="B34" s="182" t="s">
        <v>268</v>
      </c>
      <c r="C34" s="57">
        <f t="shared" ref="C34" si="14">D34+F34+E34</f>
        <v>10532.922</v>
      </c>
      <c r="D34" s="52">
        <v>10532.922</v>
      </c>
      <c r="E34" s="52"/>
      <c r="F34" s="52"/>
      <c r="G34" s="52"/>
      <c r="H34" s="57">
        <f t="shared" ref="H34:H36" si="15">I34+J34+K34</f>
        <v>2.6680000000000001</v>
      </c>
      <c r="I34" s="52">
        <v>2.6680000000000001</v>
      </c>
      <c r="J34" s="52"/>
      <c r="K34" s="52"/>
      <c r="L34" s="52"/>
      <c r="M34" s="112">
        <f t="shared" si="12"/>
        <v>3947.8718140929536</v>
      </c>
      <c r="N34" s="58"/>
      <c r="O34" s="61"/>
      <c r="P34" s="61"/>
      <c r="Q34" s="61"/>
      <c r="R34" s="61"/>
      <c r="S34" s="59"/>
      <c r="T34" s="59"/>
      <c r="U34" s="59"/>
      <c r="V34" s="59"/>
      <c r="W34" s="55"/>
    </row>
    <row r="35" spans="1:23">
      <c r="A35" s="135"/>
      <c r="B35" s="179" t="s">
        <v>276</v>
      </c>
      <c r="C35" s="57">
        <f>D35+E35+F35</f>
        <v>3709.91</v>
      </c>
      <c r="D35" s="52">
        <v>201.50899999999999</v>
      </c>
      <c r="E35" s="52">
        <v>3508.4009999999998</v>
      </c>
      <c r="F35" s="52"/>
      <c r="G35" s="52"/>
      <c r="H35" s="57">
        <f t="shared" si="15"/>
        <v>0.88</v>
      </c>
      <c r="I35" s="52">
        <v>5.3999999999999999E-2</v>
      </c>
      <c r="J35" s="52">
        <v>0.82599999999999996</v>
      </c>
      <c r="K35" s="52"/>
      <c r="L35" s="52"/>
      <c r="M35" s="112">
        <f t="shared" si="12"/>
        <v>4215.806818181818</v>
      </c>
      <c r="N35" s="58"/>
      <c r="O35" s="61"/>
      <c r="P35" s="61"/>
      <c r="Q35" s="61"/>
      <c r="R35" s="61"/>
      <c r="S35" s="59"/>
      <c r="T35" s="55"/>
      <c r="U35" s="55"/>
      <c r="V35" s="55"/>
      <c r="W35" s="55"/>
    </row>
    <row r="36" spans="1:23">
      <c r="A36" s="135"/>
      <c r="B36" s="179" t="s">
        <v>281</v>
      </c>
      <c r="C36" s="57">
        <f t="shared" ref="C36" si="16">D36+E36+F36</f>
        <v>83.308000000000007</v>
      </c>
      <c r="D36" s="52">
        <v>23.16</v>
      </c>
      <c r="E36" s="52">
        <v>36.302</v>
      </c>
      <c r="F36" s="52">
        <v>23.846</v>
      </c>
      <c r="G36" s="52"/>
      <c r="H36" s="57">
        <f t="shared" si="15"/>
        <v>2.2000000000000002E-2</v>
      </c>
      <c r="I36" s="52">
        <v>6.0000000000000001E-3</v>
      </c>
      <c r="J36" s="52">
        <v>1.0999999999999999E-2</v>
      </c>
      <c r="K36" s="52">
        <v>5.0000000000000001E-3</v>
      </c>
      <c r="L36" s="52"/>
      <c r="M36" s="112">
        <f t="shared" si="12"/>
        <v>3786.7272727272725</v>
      </c>
      <c r="N36" s="58"/>
      <c r="O36" s="61"/>
      <c r="P36" s="61"/>
      <c r="Q36" s="61"/>
      <c r="R36" s="61"/>
      <c r="S36" s="59"/>
      <c r="T36" s="55"/>
      <c r="U36" s="55"/>
      <c r="V36" s="55"/>
      <c r="W36" s="55"/>
    </row>
    <row r="37" spans="1:23" ht="14.25" customHeight="1">
      <c r="A37" s="135"/>
      <c r="B37" s="181" t="s">
        <v>255</v>
      </c>
      <c r="C37" s="57">
        <f>D37+F37+E37</f>
        <v>14328.65</v>
      </c>
      <c r="D37" s="52">
        <v>9907.7309999999998</v>
      </c>
      <c r="E37" s="52">
        <v>433.87599999999998</v>
      </c>
      <c r="F37" s="52">
        <v>3987.0430000000001</v>
      </c>
      <c r="G37" s="52"/>
      <c r="H37" s="57">
        <f t="shared" si="4"/>
        <v>4.1879999999999997</v>
      </c>
      <c r="I37" s="60">
        <v>2.9710000000000001</v>
      </c>
      <c r="J37" s="60">
        <v>9.8000000000000004E-2</v>
      </c>
      <c r="K37" s="52">
        <v>1.119</v>
      </c>
      <c r="L37" s="52"/>
      <c r="M37" s="112">
        <f t="shared" si="1"/>
        <v>3421.3586437440308</v>
      </c>
      <c r="N37" s="58"/>
      <c r="O37" s="61"/>
      <c r="P37" s="61"/>
      <c r="Q37" s="61"/>
      <c r="R37" s="61"/>
      <c r="S37" s="59"/>
      <c r="T37" s="59"/>
      <c r="U37" s="59"/>
      <c r="V37" s="59"/>
      <c r="W37" s="55"/>
    </row>
    <row r="38" spans="1:23">
      <c r="A38" s="141" t="s">
        <v>94</v>
      </c>
      <c r="B38" s="183" t="s">
        <v>95</v>
      </c>
      <c r="C38" s="57">
        <f>D38+E38+F38</f>
        <v>43021.146000000001</v>
      </c>
      <c r="D38" s="57">
        <f>SUM(D39:D45)</f>
        <v>8434.491</v>
      </c>
      <c r="E38" s="57">
        <f>SUM(E39:E45)</f>
        <v>34331.993000000002</v>
      </c>
      <c r="F38" s="57">
        <f>SUM(F39:F45)</f>
        <v>254.66200000000001</v>
      </c>
      <c r="G38" s="57"/>
      <c r="H38" s="57">
        <f t="shared" si="4"/>
        <v>11.837999999999997</v>
      </c>
      <c r="I38" s="57">
        <f>SUM(I39:I45)</f>
        <v>2.2669999999999999</v>
      </c>
      <c r="J38" s="57">
        <f>SUM(J39:J45)</f>
        <v>9.5059999999999985</v>
      </c>
      <c r="K38" s="57">
        <f>SUM(K39:K45)</f>
        <v>6.5000000000000002E-2</v>
      </c>
      <c r="L38" s="57"/>
      <c r="M38" s="112">
        <f t="shared" si="1"/>
        <v>3634.156614292956</v>
      </c>
      <c r="N38" s="58"/>
      <c r="O38" s="113"/>
      <c r="P38" s="113"/>
      <c r="Q38" s="113"/>
      <c r="R38" s="113"/>
      <c r="S38" s="113"/>
      <c r="T38" s="113"/>
      <c r="U38" s="113"/>
      <c r="V38" s="113"/>
      <c r="W38" s="113"/>
    </row>
    <row r="39" spans="1:23">
      <c r="A39" s="135"/>
      <c r="B39" s="181" t="s">
        <v>275</v>
      </c>
      <c r="C39" s="57">
        <f>D39+E39+F39</f>
        <v>71.724999999999994</v>
      </c>
      <c r="D39" s="52"/>
      <c r="E39" s="52"/>
      <c r="F39" s="52">
        <v>71.724999999999994</v>
      </c>
      <c r="G39" s="52"/>
      <c r="H39" s="57">
        <f t="shared" si="4"/>
        <v>1.7999999999999999E-2</v>
      </c>
      <c r="I39" s="52"/>
      <c r="J39" s="52"/>
      <c r="K39" s="52">
        <v>1.7999999999999999E-2</v>
      </c>
      <c r="L39" s="52"/>
      <c r="M39" s="112">
        <f t="shared" si="1"/>
        <v>3984.7222222222222</v>
      </c>
      <c r="N39" s="58"/>
      <c r="O39" s="53"/>
      <c r="P39" s="53"/>
      <c r="Q39" s="53"/>
      <c r="R39" s="53"/>
      <c r="S39" s="59"/>
      <c r="T39" s="55"/>
      <c r="U39" s="55"/>
      <c r="V39" s="55"/>
      <c r="W39" s="55"/>
    </row>
    <row r="40" spans="1:23">
      <c r="A40" s="135"/>
      <c r="B40" s="181" t="s">
        <v>283</v>
      </c>
      <c r="C40" s="57">
        <f>D40+E40+F40</f>
        <v>147.80000000000001</v>
      </c>
      <c r="D40" s="52"/>
      <c r="E40" s="52">
        <v>25.841000000000001</v>
      </c>
      <c r="F40" s="52">
        <v>121.959</v>
      </c>
      <c r="G40" s="52"/>
      <c r="H40" s="57">
        <f t="shared" ref="H40" si="17">I40+J40+K40</f>
        <v>3.7999999999999999E-2</v>
      </c>
      <c r="I40" s="52"/>
      <c r="J40" s="52">
        <v>7.0000000000000001E-3</v>
      </c>
      <c r="K40" s="52">
        <v>3.1E-2</v>
      </c>
      <c r="L40" s="52"/>
      <c r="M40" s="112">
        <f t="shared" ref="M40" si="18">C40/H40</f>
        <v>3889.4736842105267</v>
      </c>
      <c r="N40" s="58"/>
      <c r="O40" s="53"/>
      <c r="P40" s="53"/>
      <c r="Q40" s="53"/>
      <c r="R40" s="53"/>
      <c r="S40" s="59"/>
      <c r="T40" s="55"/>
      <c r="U40" s="55"/>
      <c r="V40" s="55"/>
      <c r="W40" s="55"/>
    </row>
    <row r="41" spans="1:23">
      <c r="A41" s="135"/>
      <c r="B41" s="181" t="s">
        <v>252</v>
      </c>
      <c r="C41" s="57">
        <f t="shared" ref="C41" si="19">D41+E41+F41</f>
        <v>31274.682000000001</v>
      </c>
      <c r="D41" s="52"/>
      <c r="E41" s="52">
        <v>31213.704000000002</v>
      </c>
      <c r="F41" s="52">
        <v>60.978000000000002</v>
      </c>
      <c r="G41" s="52"/>
      <c r="H41" s="57">
        <f t="shared" si="4"/>
        <v>8.6709999999999994</v>
      </c>
      <c r="I41" s="52"/>
      <c r="J41" s="52">
        <v>8.6549999999999994</v>
      </c>
      <c r="K41" s="52">
        <v>1.6E-2</v>
      </c>
      <c r="L41" s="52"/>
      <c r="M41" s="112">
        <f t="shared" si="1"/>
        <v>3606.813746972668</v>
      </c>
      <c r="N41" s="58"/>
      <c r="O41" s="53"/>
      <c r="P41" s="53"/>
      <c r="Q41" s="53"/>
      <c r="R41" s="53"/>
      <c r="S41" s="59"/>
      <c r="T41" s="55"/>
      <c r="U41" s="55"/>
      <c r="V41" s="55"/>
      <c r="W41" s="55"/>
    </row>
    <row r="42" spans="1:23">
      <c r="A42" s="135"/>
      <c r="B42" s="140" t="s">
        <v>253</v>
      </c>
      <c r="C42" s="57">
        <f t="shared" ref="C42" si="20">D42+E42+F42</f>
        <v>8434.491</v>
      </c>
      <c r="D42" s="52">
        <v>8434.491</v>
      </c>
      <c r="E42" s="52"/>
      <c r="F42" s="52"/>
      <c r="G42" s="52"/>
      <c r="H42" s="57">
        <f t="shared" ref="H42" si="21">I42+J42+K42</f>
        <v>2.2669999999999999</v>
      </c>
      <c r="I42" s="52">
        <v>2.2669999999999999</v>
      </c>
      <c r="J42" s="52"/>
      <c r="K42" s="52"/>
      <c r="L42" s="52"/>
      <c r="M42" s="112">
        <f t="shared" ref="M42" si="22">C42/H42</f>
        <v>3720.5518306131453</v>
      </c>
      <c r="N42" s="58"/>
      <c r="O42" s="53"/>
      <c r="P42" s="53"/>
      <c r="Q42" s="53"/>
      <c r="R42" s="53"/>
      <c r="S42" s="59"/>
      <c r="T42" s="55"/>
      <c r="U42" s="55"/>
      <c r="V42" s="55"/>
      <c r="W42" s="55"/>
    </row>
    <row r="43" spans="1:23">
      <c r="A43" s="135"/>
      <c r="B43" s="140" t="s">
        <v>234</v>
      </c>
      <c r="C43" s="57">
        <f>D43+E43+F43</f>
        <v>3092.4479999999999</v>
      </c>
      <c r="D43" s="52"/>
      <c r="E43" s="52">
        <v>3092.4479999999999</v>
      </c>
      <c r="F43" s="52"/>
      <c r="G43" s="52"/>
      <c r="H43" s="57">
        <f>I43+J43+K43</f>
        <v>0.84399999999999997</v>
      </c>
      <c r="I43" s="52"/>
      <c r="J43" s="52">
        <v>0.84399999999999997</v>
      </c>
      <c r="K43" s="52"/>
      <c r="L43" s="52"/>
      <c r="M43" s="112">
        <f>C43/H43</f>
        <v>3664.0379146919431</v>
      </c>
      <c r="N43" s="58"/>
      <c r="O43" s="53"/>
      <c r="P43" s="53"/>
      <c r="Q43" s="53"/>
      <c r="R43" s="53"/>
      <c r="S43" s="59"/>
      <c r="T43" s="55"/>
      <c r="U43" s="55"/>
      <c r="V43" s="55"/>
      <c r="W43" s="55"/>
    </row>
    <row r="44" spans="1:23" hidden="1">
      <c r="A44" s="135"/>
      <c r="B44" s="140"/>
      <c r="C44" s="57"/>
      <c r="D44" s="52"/>
      <c r="E44" s="52"/>
      <c r="F44" s="52"/>
      <c r="G44" s="52"/>
      <c r="H44" s="57"/>
      <c r="I44" s="52"/>
      <c r="J44" s="52"/>
      <c r="K44" s="52"/>
      <c r="L44" s="52"/>
      <c r="M44" s="112"/>
      <c r="N44" s="58"/>
      <c r="O44" s="53"/>
      <c r="P44" s="53"/>
      <c r="Q44" s="53"/>
      <c r="R44" s="53"/>
      <c r="S44" s="59"/>
      <c r="T44" s="55"/>
      <c r="U44" s="55"/>
      <c r="V44" s="55"/>
      <c r="W44" s="55"/>
    </row>
    <row r="45" spans="1:23" hidden="1">
      <c r="A45" s="135"/>
      <c r="B45" s="140"/>
      <c r="C45" s="57">
        <f>D45+E45+F45</f>
        <v>0</v>
      </c>
      <c r="D45" s="52"/>
      <c r="E45" s="52"/>
      <c r="F45" s="52"/>
      <c r="G45" s="52"/>
      <c r="H45" s="57">
        <f t="shared" si="4"/>
        <v>0</v>
      </c>
      <c r="I45" s="52"/>
      <c r="J45" s="52"/>
      <c r="K45" s="52"/>
      <c r="L45" s="52"/>
      <c r="M45" s="112" t="e">
        <f t="shared" si="1"/>
        <v>#DIV/0!</v>
      </c>
      <c r="N45" s="58"/>
      <c r="O45" s="53"/>
      <c r="P45" s="53"/>
      <c r="Q45" s="53"/>
      <c r="R45" s="53"/>
      <c r="S45" s="59"/>
      <c r="T45" s="55"/>
      <c r="U45" s="59"/>
      <c r="V45" s="55"/>
      <c r="W45" s="55"/>
    </row>
    <row r="46" spans="1:23" s="24" customFormat="1">
      <c r="A46" s="141" t="s">
        <v>96</v>
      </c>
      <c r="B46" s="137" t="s">
        <v>97</v>
      </c>
      <c r="C46" s="57">
        <f t="shared" ref="C46:L46" si="23">C38+C17+C9</f>
        <v>314355.88300000003</v>
      </c>
      <c r="D46" s="57">
        <f t="shared" si="23"/>
        <v>99485.451000000001</v>
      </c>
      <c r="E46" s="57">
        <f t="shared" si="23"/>
        <v>190302.47499999998</v>
      </c>
      <c r="F46" s="57">
        <f t="shared" si="23"/>
        <v>24535.278999999999</v>
      </c>
      <c r="G46" s="57">
        <f t="shared" si="23"/>
        <v>32.677999999999997</v>
      </c>
      <c r="H46" s="57">
        <f t="shared" si="23"/>
        <v>82.039999999999992</v>
      </c>
      <c r="I46" s="57">
        <f t="shared" si="23"/>
        <v>26.038999999999998</v>
      </c>
      <c r="J46" s="57">
        <f t="shared" si="23"/>
        <v>48.7</v>
      </c>
      <c r="K46" s="57">
        <f t="shared" si="23"/>
        <v>7.2910000000000004</v>
      </c>
      <c r="L46" s="57">
        <f t="shared" si="23"/>
        <v>0.01</v>
      </c>
      <c r="M46" s="112">
        <f t="shared" si="1"/>
        <v>3831.7391882008783</v>
      </c>
      <c r="N46" s="58"/>
      <c r="O46" s="113"/>
      <c r="P46" s="113"/>
      <c r="Q46" s="113"/>
      <c r="R46" s="113"/>
      <c r="S46" s="113"/>
      <c r="T46" s="113"/>
      <c r="U46" s="113"/>
      <c r="V46" s="113"/>
      <c r="W46" s="113"/>
    </row>
    <row r="48" spans="1:23" s="24" customFormat="1" ht="25.5" customHeight="1">
      <c r="A48" s="208" t="s">
        <v>70</v>
      </c>
      <c r="B48" s="208" t="s">
        <v>14</v>
      </c>
      <c r="C48" s="209" t="s">
        <v>71</v>
      </c>
      <c r="D48" s="209"/>
      <c r="E48" s="209"/>
      <c r="F48" s="209"/>
      <c r="G48" s="209"/>
      <c r="H48" s="212" t="s">
        <v>72</v>
      </c>
      <c r="I48" s="212"/>
      <c r="J48" s="212"/>
      <c r="K48" s="212"/>
      <c r="L48" s="212"/>
      <c r="M48" s="213" t="s">
        <v>73</v>
      </c>
      <c r="N48" s="214" t="s">
        <v>74</v>
      </c>
      <c r="O48" s="215"/>
      <c r="P48" s="215"/>
      <c r="Q48" s="215"/>
      <c r="R48" s="216"/>
      <c r="S48" s="217" t="s">
        <v>75</v>
      </c>
      <c r="T48" s="217"/>
      <c r="U48" s="217"/>
      <c r="V48" s="217"/>
      <c r="W48" s="217"/>
    </row>
    <row r="49" spans="1:23" s="24" customFormat="1" ht="18" customHeight="1">
      <c r="A49" s="208"/>
      <c r="B49" s="208"/>
      <c r="C49" s="47" t="s">
        <v>76</v>
      </c>
      <c r="D49" s="47" t="s">
        <v>6</v>
      </c>
      <c r="E49" s="47" t="s">
        <v>7</v>
      </c>
      <c r="F49" s="47" t="s">
        <v>77</v>
      </c>
      <c r="G49" s="47" t="s">
        <v>9</v>
      </c>
      <c r="H49" s="47" t="s">
        <v>76</v>
      </c>
      <c r="I49" s="47" t="s">
        <v>6</v>
      </c>
      <c r="J49" s="47" t="s">
        <v>7</v>
      </c>
      <c r="K49" s="47" t="s">
        <v>77</v>
      </c>
      <c r="L49" s="47" t="s">
        <v>9</v>
      </c>
      <c r="M49" s="213"/>
      <c r="N49" s="26" t="s">
        <v>76</v>
      </c>
      <c r="O49" s="48" t="s">
        <v>6</v>
      </c>
      <c r="P49" s="48" t="s">
        <v>7</v>
      </c>
      <c r="Q49" s="48" t="s">
        <v>77</v>
      </c>
      <c r="R49" s="48" t="s">
        <v>9</v>
      </c>
      <c r="S49" s="26" t="s">
        <v>76</v>
      </c>
      <c r="T49" s="26" t="s">
        <v>6</v>
      </c>
      <c r="U49" s="26" t="s">
        <v>7</v>
      </c>
      <c r="V49" s="26" t="s">
        <v>77</v>
      </c>
      <c r="W49" s="26" t="s">
        <v>9</v>
      </c>
    </row>
    <row r="50" spans="1:23" s="51" customFormat="1" ht="13.5" customHeight="1">
      <c r="A50" s="49">
        <v>1</v>
      </c>
      <c r="B50" s="50">
        <f t="shared" ref="B50" si="24">+A50+1</f>
        <v>2</v>
      </c>
      <c r="C50" s="50">
        <f>+B50+1</f>
        <v>3</v>
      </c>
      <c r="D50" s="50">
        <f t="shared" ref="D50:W50" si="25">+C50+1</f>
        <v>4</v>
      </c>
      <c r="E50" s="50">
        <f t="shared" si="25"/>
        <v>5</v>
      </c>
      <c r="F50" s="50">
        <f t="shared" si="25"/>
        <v>6</v>
      </c>
      <c r="G50" s="50">
        <f t="shared" si="25"/>
        <v>7</v>
      </c>
      <c r="H50" s="50">
        <f t="shared" si="25"/>
        <v>8</v>
      </c>
      <c r="I50" s="50">
        <f t="shared" si="25"/>
        <v>9</v>
      </c>
      <c r="J50" s="50">
        <f t="shared" si="25"/>
        <v>10</v>
      </c>
      <c r="K50" s="50">
        <f t="shared" si="25"/>
        <v>11</v>
      </c>
      <c r="L50" s="50">
        <f t="shared" si="25"/>
        <v>12</v>
      </c>
      <c r="M50" s="50">
        <f t="shared" si="25"/>
        <v>13</v>
      </c>
      <c r="N50" s="50">
        <f t="shared" si="25"/>
        <v>14</v>
      </c>
      <c r="O50" s="50">
        <f t="shared" si="25"/>
        <v>15</v>
      </c>
      <c r="P50" s="50">
        <f t="shared" si="25"/>
        <v>16</v>
      </c>
      <c r="Q50" s="50">
        <f t="shared" si="25"/>
        <v>17</v>
      </c>
      <c r="R50" s="50">
        <f t="shared" si="25"/>
        <v>18</v>
      </c>
      <c r="S50" s="50">
        <f t="shared" si="25"/>
        <v>19</v>
      </c>
      <c r="T50" s="50">
        <f t="shared" si="25"/>
        <v>20</v>
      </c>
      <c r="U50" s="50">
        <f t="shared" si="25"/>
        <v>21</v>
      </c>
      <c r="V50" s="50">
        <f t="shared" si="25"/>
        <v>22</v>
      </c>
      <c r="W50" s="50">
        <f t="shared" si="25"/>
        <v>23</v>
      </c>
    </row>
    <row r="51" spans="1:23" ht="15" customHeight="1">
      <c r="A51" s="205" t="str">
        <f>'П1.5'!I4</f>
        <v>Факт 2 полугодие 2024г.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7"/>
    </row>
    <row r="52" spans="1:23" s="24" customFormat="1">
      <c r="A52" s="133">
        <v>1</v>
      </c>
      <c r="B52" s="134" t="s">
        <v>16</v>
      </c>
      <c r="C52" s="57">
        <f>SUM(D52:G52)</f>
        <v>1077.9929999999999</v>
      </c>
      <c r="D52" s="57">
        <f>D54+D55</f>
        <v>152.39500000000001</v>
      </c>
      <c r="E52" s="57">
        <f>SUM(E53:E56)</f>
        <v>0</v>
      </c>
      <c r="F52" s="57">
        <f>F55+F56+F59+F54</f>
        <v>889.77899999999988</v>
      </c>
      <c r="G52" s="57">
        <f>G55+G56+G59+G54</f>
        <v>35.819000000000003</v>
      </c>
      <c r="H52" s="57">
        <f>SUM(I52:L52)</f>
        <v>0.307</v>
      </c>
      <c r="I52" s="57">
        <f>I54+I55</f>
        <v>4.2999999999999997E-2</v>
      </c>
      <c r="J52" s="57">
        <f>J54+J55</f>
        <v>0</v>
      </c>
      <c r="K52" s="57">
        <f>K55+K56+K59+K54</f>
        <v>0.254</v>
      </c>
      <c r="L52" s="57">
        <f>SUM(L53:L59)</f>
        <v>0.01</v>
      </c>
      <c r="M52" s="112">
        <f>C52/H52</f>
        <v>3511.3778501628663</v>
      </c>
      <c r="N52" s="58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1:23">
      <c r="A53" s="135" t="s">
        <v>25</v>
      </c>
      <c r="B53" s="136" t="s">
        <v>17</v>
      </c>
      <c r="C53" s="57"/>
      <c r="D53" s="52"/>
      <c r="E53" s="52"/>
      <c r="F53" s="52"/>
      <c r="G53" s="52"/>
      <c r="H53" s="57"/>
      <c r="I53" s="52"/>
      <c r="J53" s="52"/>
      <c r="K53" s="52"/>
      <c r="L53" s="52"/>
      <c r="M53" s="112"/>
      <c r="N53" s="58"/>
      <c r="O53" s="53"/>
      <c r="P53" s="53"/>
      <c r="Q53" s="53"/>
      <c r="R53" s="53"/>
      <c r="S53" s="54"/>
      <c r="T53" s="55"/>
      <c r="U53" s="55"/>
      <c r="V53" s="55"/>
      <c r="W53" s="55"/>
    </row>
    <row r="54" spans="1:23" s="24" customFormat="1" ht="13.5" customHeight="1">
      <c r="A54" s="135" t="s">
        <v>78</v>
      </c>
      <c r="B54" s="136" t="s">
        <v>79</v>
      </c>
      <c r="C54" s="57">
        <f>D54+F54</f>
        <v>72.55</v>
      </c>
      <c r="D54" s="52"/>
      <c r="E54" s="52"/>
      <c r="F54" s="52">
        <v>72.55</v>
      </c>
      <c r="G54" s="52"/>
      <c r="H54" s="57">
        <f>I54+K54</f>
        <v>2.1000000000000001E-2</v>
      </c>
      <c r="I54" s="52"/>
      <c r="J54" s="52"/>
      <c r="K54" s="52">
        <v>2.1000000000000001E-2</v>
      </c>
      <c r="L54" s="52"/>
      <c r="M54" s="112">
        <f t="shared" ref="M54:M55" si="26">C54/H54</f>
        <v>3454.7619047619046</v>
      </c>
      <c r="N54" s="58"/>
      <c r="O54" s="53"/>
      <c r="P54" s="53"/>
      <c r="Q54" s="53"/>
      <c r="R54" s="53"/>
      <c r="S54" s="54"/>
      <c r="T54" s="55"/>
      <c r="U54" s="55"/>
      <c r="V54" s="55"/>
      <c r="W54" s="55"/>
    </row>
    <row r="55" spans="1:23" s="24" customFormat="1">
      <c r="A55" s="135" t="s">
        <v>80</v>
      </c>
      <c r="B55" s="136" t="s">
        <v>81</v>
      </c>
      <c r="C55" s="57">
        <f>SUM(D55:G55)</f>
        <v>988.67299999999989</v>
      </c>
      <c r="D55" s="52">
        <v>152.39500000000001</v>
      </c>
      <c r="E55" s="52"/>
      <c r="F55" s="52">
        <v>800.45899999999995</v>
      </c>
      <c r="G55" s="52">
        <v>35.819000000000003</v>
      </c>
      <c r="H55" s="57">
        <f>SUM(I55:L55)</f>
        <v>0.28100000000000003</v>
      </c>
      <c r="I55" s="52">
        <v>4.2999999999999997E-2</v>
      </c>
      <c r="J55" s="52"/>
      <c r="K55" s="52">
        <v>0.22800000000000001</v>
      </c>
      <c r="L55" s="52">
        <v>0.01</v>
      </c>
      <c r="M55" s="112">
        <f t="shared" si="26"/>
        <v>3518.4092526690383</v>
      </c>
      <c r="N55" s="58"/>
      <c r="O55" s="53"/>
      <c r="P55" s="53"/>
      <c r="Q55" s="53"/>
      <c r="R55" s="53"/>
      <c r="S55" s="54"/>
      <c r="T55" s="55"/>
      <c r="U55" s="55"/>
      <c r="V55" s="55"/>
      <c r="W55" s="55"/>
    </row>
    <row r="56" spans="1:23" s="24" customFormat="1">
      <c r="A56" s="135" t="s">
        <v>82</v>
      </c>
      <c r="B56" s="136" t="s">
        <v>83</v>
      </c>
      <c r="C56" s="57">
        <f>SUM(D56:F56)</f>
        <v>0</v>
      </c>
      <c r="D56" s="52"/>
      <c r="E56" s="52"/>
      <c r="F56" s="52"/>
      <c r="G56" s="52"/>
      <c r="H56" s="57">
        <f>SUM(J56:K56)</f>
        <v>0</v>
      </c>
      <c r="I56" s="52"/>
      <c r="J56" s="52"/>
      <c r="K56" s="52"/>
      <c r="L56" s="52"/>
      <c r="M56" s="112"/>
      <c r="N56" s="58"/>
      <c r="O56" s="53"/>
      <c r="P56" s="53"/>
      <c r="Q56" s="53"/>
      <c r="R56" s="53"/>
      <c r="S56" s="54"/>
      <c r="T56" s="55"/>
      <c r="U56" s="55"/>
      <c r="V56" s="55"/>
      <c r="W56" s="55"/>
    </row>
    <row r="57" spans="1:23" s="24" customFormat="1">
      <c r="A57" s="135" t="s">
        <v>26</v>
      </c>
      <c r="B57" s="136" t="s">
        <v>18</v>
      </c>
      <c r="C57" s="57"/>
      <c r="D57" s="52"/>
      <c r="E57" s="52"/>
      <c r="F57" s="52"/>
      <c r="G57" s="52"/>
      <c r="H57" s="57"/>
      <c r="I57" s="52"/>
      <c r="J57" s="52"/>
      <c r="K57" s="52"/>
      <c r="L57" s="52"/>
      <c r="M57" s="112"/>
      <c r="N57" s="58"/>
      <c r="O57" s="53"/>
      <c r="P57" s="53"/>
      <c r="Q57" s="53"/>
      <c r="R57" s="53"/>
      <c r="S57" s="54"/>
      <c r="T57" s="55"/>
      <c r="U57" s="55"/>
      <c r="V57" s="55"/>
      <c r="W57" s="55"/>
    </row>
    <row r="58" spans="1:23" s="24" customFormat="1">
      <c r="A58" s="135" t="s">
        <v>84</v>
      </c>
      <c r="B58" s="136" t="s">
        <v>79</v>
      </c>
      <c r="C58" s="57"/>
      <c r="D58" s="52"/>
      <c r="E58" s="52"/>
      <c r="F58" s="52"/>
      <c r="G58" s="52"/>
      <c r="H58" s="57"/>
      <c r="I58" s="52"/>
      <c r="J58" s="52"/>
      <c r="K58" s="52"/>
      <c r="L58" s="52"/>
      <c r="M58" s="112"/>
      <c r="N58" s="58"/>
      <c r="O58" s="53"/>
      <c r="P58" s="53"/>
      <c r="Q58" s="53"/>
      <c r="R58" s="53"/>
      <c r="S58" s="54"/>
      <c r="T58" s="55"/>
      <c r="U58" s="55"/>
      <c r="V58" s="55"/>
      <c r="W58" s="55"/>
    </row>
    <row r="59" spans="1:23" s="24" customFormat="1">
      <c r="A59" s="135" t="s">
        <v>85</v>
      </c>
      <c r="B59" s="136" t="s">
        <v>86</v>
      </c>
      <c r="C59" s="57">
        <f>D59+F59</f>
        <v>16.77</v>
      </c>
      <c r="D59" s="52"/>
      <c r="E59" s="52"/>
      <c r="F59" s="52">
        <v>16.77</v>
      </c>
      <c r="G59" s="52"/>
      <c r="H59" s="57">
        <f>I59+K59</f>
        <v>5.0000000000000001E-3</v>
      </c>
      <c r="I59" s="52"/>
      <c r="J59" s="52"/>
      <c r="K59" s="52">
        <v>5.0000000000000001E-3</v>
      </c>
      <c r="L59" s="52"/>
      <c r="M59" s="112">
        <f t="shared" ref="M59:M60" si="27">C59/H59</f>
        <v>3354</v>
      </c>
      <c r="N59" s="58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1:23" s="24" customFormat="1">
      <c r="A60" s="133" t="s">
        <v>19</v>
      </c>
      <c r="B60" s="137" t="s">
        <v>20</v>
      </c>
      <c r="C60" s="57">
        <f>C65+C71</f>
        <v>264708.8</v>
      </c>
      <c r="D60" s="57">
        <f>D65+D71</f>
        <v>91454.956000000006</v>
      </c>
      <c r="E60" s="57">
        <f>E65+E71</f>
        <v>151848.41800000001</v>
      </c>
      <c r="F60" s="57">
        <f>F65+F71</f>
        <v>21405.426000000003</v>
      </c>
      <c r="G60" s="57"/>
      <c r="H60" s="57">
        <f>I60+J60+K60</f>
        <v>67.713999999999999</v>
      </c>
      <c r="I60" s="57">
        <f>I65+I71</f>
        <v>23.814000000000004</v>
      </c>
      <c r="J60" s="57">
        <f>J65+J71</f>
        <v>38.045999999999999</v>
      </c>
      <c r="K60" s="57">
        <f>K65+K71</f>
        <v>5.8540000000000001</v>
      </c>
      <c r="L60" s="57"/>
      <c r="M60" s="112">
        <f t="shared" si="27"/>
        <v>3909.2181823551996</v>
      </c>
      <c r="N60" s="58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1:23" s="24" customFormat="1">
      <c r="A61" s="135" t="s">
        <v>42</v>
      </c>
      <c r="B61" s="56" t="s">
        <v>87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112"/>
      <c r="N61" s="58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1:23">
      <c r="A62" s="138"/>
      <c r="B62" s="56" t="s">
        <v>88</v>
      </c>
      <c r="C62" s="57"/>
      <c r="D62" s="52"/>
      <c r="E62" s="52"/>
      <c r="F62" s="52"/>
      <c r="G62" s="52"/>
      <c r="H62" s="57"/>
      <c r="I62" s="52"/>
      <c r="J62" s="52"/>
      <c r="K62" s="52"/>
      <c r="L62" s="52"/>
      <c r="M62" s="112"/>
      <c r="N62" s="58"/>
      <c r="O62" s="53"/>
      <c r="P62" s="53"/>
      <c r="Q62" s="53"/>
      <c r="R62" s="53"/>
      <c r="S62" s="59"/>
      <c r="T62" s="55"/>
      <c r="U62" s="55"/>
      <c r="V62" s="55"/>
      <c r="W62" s="55"/>
    </row>
    <row r="63" spans="1:23">
      <c r="A63" s="138"/>
      <c r="B63" s="56" t="s">
        <v>89</v>
      </c>
      <c r="C63" s="57"/>
      <c r="D63" s="52"/>
      <c r="E63" s="52"/>
      <c r="F63" s="52"/>
      <c r="G63" s="52"/>
      <c r="H63" s="57"/>
      <c r="I63" s="52"/>
      <c r="J63" s="52"/>
      <c r="K63" s="52"/>
      <c r="L63" s="52"/>
      <c r="M63" s="112"/>
      <c r="N63" s="58"/>
      <c r="O63" s="53"/>
      <c r="P63" s="53"/>
      <c r="Q63" s="53"/>
      <c r="R63" s="53"/>
      <c r="S63" s="59"/>
      <c r="T63" s="55"/>
      <c r="U63" s="55"/>
      <c r="V63" s="55"/>
      <c r="W63" s="55"/>
    </row>
    <row r="64" spans="1:23">
      <c r="A64" s="135"/>
      <c r="B64" s="56" t="s">
        <v>90</v>
      </c>
      <c r="C64" s="57"/>
      <c r="D64" s="52"/>
      <c r="E64" s="52"/>
      <c r="F64" s="52"/>
      <c r="G64" s="52"/>
      <c r="H64" s="57"/>
      <c r="I64" s="52"/>
      <c r="J64" s="52"/>
      <c r="K64" s="52"/>
      <c r="L64" s="52"/>
      <c r="M64" s="112"/>
      <c r="N64" s="58"/>
      <c r="O64" s="53"/>
      <c r="P64" s="53"/>
      <c r="Q64" s="53"/>
      <c r="R64" s="53"/>
      <c r="S64" s="59"/>
      <c r="T64" s="55"/>
      <c r="U64" s="55"/>
      <c r="V64" s="55"/>
      <c r="W64" s="55"/>
    </row>
    <row r="65" spans="1:23" s="24" customFormat="1">
      <c r="A65" s="135" t="s">
        <v>46</v>
      </c>
      <c r="B65" s="139" t="s">
        <v>91</v>
      </c>
      <c r="C65" s="57">
        <f t="shared" ref="C65" si="28">D65+E65+F65</f>
        <v>37267.254000000001</v>
      </c>
      <c r="D65" s="57">
        <f>SUM(D66:D70)</f>
        <v>6496.357</v>
      </c>
      <c r="E65" s="57">
        <f>SUM(E66:E70)</f>
        <v>24950.428</v>
      </c>
      <c r="F65" s="57">
        <f>SUM(F66:F70)</f>
        <v>5820.4690000000001</v>
      </c>
      <c r="G65" s="57"/>
      <c r="H65" s="57">
        <f t="shared" ref="H65" si="29">I65+J65+K65</f>
        <v>10.181000000000001</v>
      </c>
      <c r="I65" s="57">
        <f>SUM(I66:I70)</f>
        <v>1.7709999999999999</v>
      </c>
      <c r="J65" s="57">
        <f>SUM(J66:J70)</f>
        <v>6.7860000000000005</v>
      </c>
      <c r="K65" s="57">
        <f>SUM(K66:K70)</f>
        <v>1.6239999999999997</v>
      </c>
      <c r="L65" s="57"/>
      <c r="M65" s="112">
        <f t="shared" ref="M65" si="30">C65/H65</f>
        <v>3660.4708771240544</v>
      </c>
      <c r="N65" s="58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1:23">
      <c r="A66" s="135"/>
      <c r="B66" s="140" t="s">
        <v>267</v>
      </c>
      <c r="C66" s="57">
        <f t="shared" ref="C66:C70" si="31">D66+E66+F66</f>
        <v>6352.3819999999996</v>
      </c>
      <c r="D66" s="60">
        <v>966.55700000000002</v>
      </c>
      <c r="E66" s="60">
        <v>1203.164</v>
      </c>
      <c r="F66" s="60">
        <v>4182.6610000000001</v>
      </c>
      <c r="G66" s="52"/>
      <c r="H66" s="57">
        <f t="shared" ref="H66:H70" si="32">I66+J66+K66</f>
        <v>1.6509999999999998</v>
      </c>
      <c r="I66" s="60">
        <v>0.28499999999999998</v>
      </c>
      <c r="J66" s="60">
        <v>0.20799999999999999</v>
      </c>
      <c r="K66" s="60">
        <v>1.1579999999999999</v>
      </c>
      <c r="L66" s="52"/>
      <c r="M66" s="112">
        <f t="shared" ref="M66:M90" si="33">C66/H66</f>
        <v>3847.5966081162933</v>
      </c>
      <c r="N66" s="58"/>
      <c r="O66" s="61"/>
      <c r="P66" s="61"/>
      <c r="Q66" s="61"/>
      <c r="R66" s="61"/>
      <c r="S66" s="59"/>
      <c r="T66" s="55"/>
      <c r="U66" s="55"/>
      <c r="V66" s="55"/>
      <c r="W66" s="55"/>
    </row>
    <row r="67" spans="1:23">
      <c r="A67" s="135"/>
      <c r="B67" s="140" t="s">
        <v>232</v>
      </c>
      <c r="C67" s="57">
        <f t="shared" si="31"/>
        <v>5411.759</v>
      </c>
      <c r="D67" s="60">
        <v>5408.2510000000002</v>
      </c>
      <c r="E67" s="60"/>
      <c r="F67" s="60">
        <v>3.508</v>
      </c>
      <c r="G67" s="52"/>
      <c r="H67" s="57">
        <f t="shared" si="32"/>
        <v>1.4569999999999999</v>
      </c>
      <c r="I67" s="60">
        <v>1.456</v>
      </c>
      <c r="J67" s="60"/>
      <c r="K67" s="60">
        <v>1E-3</v>
      </c>
      <c r="L67" s="52"/>
      <c r="M67" s="112">
        <f t="shared" si="33"/>
        <v>3714.3164035689779</v>
      </c>
      <c r="N67" s="58"/>
      <c r="O67" s="61"/>
      <c r="P67" s="61"/>
      <c r="Q67" s="61"/>
      <c r="R67" s="61"/>
      <c r="S67" s="59"/>
      <c r="T67" s="59"/>
      <c r="U67" s="55"/>
      <c r="V67" s="55"/>
      <c r="W67" s="55"/>
    </row>
    <row r="68" spans="1:23">
      <c r="A68" s="135"/>
      <c r="B68" s="56" t="s">
        <v>281</v>
      </c>
      <c r="C68" s="57">
        <f t="shared" si="31"/>
        <v>515.48500000000001</v>
      </c>
      <c r="D68" s="52"/>
      <c r="E68" s="60">
        <v>515.48500000000001</v>
      </c>
      <c r="F68" s="60"/>
      <c r="G68" s="52"/>
      <c r="H68" s="57">
        <f t="shared" si="32"/>
        <v>0.14099999999999999</v>
      </c>
      <c r="I68" s="60"/>
      <c r="J68" s="60">
        <v>0.14099999999999999</v>
      </c>
      <c r="K68" s="60"/>
      <c r="L68" s="52"/>
      <c r="M68" s="112">
        <f t="shared" si="33"/>
        <v>3655.9219858156034</v>
      </c>
      <c r="N68" s="58"/>
      <c r="O68" s="61"/>
      <c r="P68" s="61"/>
      <c r="Q68" s="61"/>
      <c r="R68" s="61"/>
      <c r="S68" s="59"/>
      <c r="T68" s="59"/>
      <c r="U68" s="55"/>
      <c r="V68" s="55"/>
      <c r="W68" s="55"/>
    </row>
    <row r="69" spans="1:23">
      <c r="A69" s="135"/>
      <c r="B69" s="140" t="s">
        <v>282</v>
      </c>
      <c r="C69" s="57">
        <f t="shared" si="31"/>
        <v>6.96</v>
      </c>
      <c r="D69" s="52"/>
      <c r="E69" s="52"/>
      <c r="F69" s="60">
        <v>6.96</v>
      </c>
      <c r="G69" s="52"/>
      <c r="H69" s="57">
        <f t="shared" si="32"/>
        <v>1E-3</v>
      </c>
      <c r="I69" s="60"/>
      <c r="J69" s="60"/>
      <c r="K69" s="60">
        <v>1E-3</v>
      </c>
      <c r="L69" s="52"/>
      <c r="M69" s="112">
        <f>C67/H67</f>
        <v>3714.3164035689779</v>
      </c>
      <c r="N69" s="58"/>
      <c r="O69" s="61"/>
      <c r="P69" s="61"/>
      <c r="Q69" s="61"/>
      <c r="R69" s="61"/>
      <c r="S69" s="59"/>
      <c r="T69" s="59"/>
      <c r="U69" s="55"/>
      <c r="V69" s="55"/>
      <c r="W69" s="55"/>
    </row>
    <row r="70" spans="1:23">
      <c r="A70" s="135"/>
      <c r="B70" s="56" t="str">
        <f>B26</f>
        <v>ЗАО "ЭПК"</v>
      </c>
      <c r="C70" s="57">
        <f t="shared" si="31"/>
        <v>24980.667999999998</v>
      </c>
      <c r="D70" s="52">
        <v>121.54900000000001</v>
      </c>
      <c r="E70" s="52">
        <v>23231.778999999999</v>
      </c>
      <c r="F70" s="52">
        <v>1627.34</v>
      </c>
      <c r="G70" s="52"/>
      <c r="H70" s="57">
        <f t="shared" si="32"/>
        <v>6.9310000000000009</v>
      </c>
      <c r="I70" s="52">
        <v>0.03</v>
      </c>
      <c r="J70" s="52">
        <v>6.4370000000000003</v>
      </c>
      <c r="K70" s="52">
        <v>0.46400000000000002</v>
      </c>
      <c r="L70" s="52"/>
      <c r="M70" s="112">
        <f t="shared" si="33"/>
        <v>3604.1939114124939</v>
      </c>
      <c r="N70" s="58"/>
      <c r="O70" s="61"/>
      <c r="P70" s="61"/>
      <c r="Q70" s="61"/>
      <c r="R70" s="61"/>
      <c r="S70" s="59"/>
      <c r="T70" s="55"/>
      <c r="U70" s="55"/>
      <c r="V70" s="55"/>
      <c r="W70" s="55"/>
    </row>
    <row r="71" spans="1:23" s="24" customFormat="1">
      <c r="A71" s="135" t="s">
        <v>92</v>
      </c>
      <c r="B71" s="139" t="s">
        <v>93</v>
      </c>
      <c r="C71" s="57">
        <f>D71+E71+F71</f>
        <v>227441.546</v>
      </c>
      <c r="D71" s="57">
        <f>SUM(D72:D81)</f>
        <v>84958.599000000002</v>
      </c>
      <c r="E71" s="57">
        <f>SUM(E72:E81)</f>
        <v>126897.99</v>
      </c>
      <c r="F71" s="57">
        <f>SUM(F72:F81)</f>
        <v>15584.957000000002</v>
      </c>
      <c r="G71" s="57"/>
      <c r="H71" s="57">
        <f>I71+J71+K71</f>
        <v>57.533000000000001</v>
      </c>
      <c r="I71" s="57">
        <f>SUM(I72:I81)</f>
        <v>22.043000000000003</v>
      </c>
      <c r="J71" s="57">
        <f>SUM(J72:J81)</f>
        <v>31.259999999999998</v>
      </c>
      <c r="K71" s="57">
        <f>SUM(K72:K81)</f>
        <v>4.2300000000000004</v>
      </c>
      <c r="L71" s="57"/>
      <c r="M71" s="112">
        <f t="shared" si="33"/>
        <v>3953.2363339300923</v>
      </c>
      <c r="N71" s="58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1:23" s="24" customFormat="1">
      <c r="A72" s="135"/>
      <c r="B72" s="140" t="s">
        <v>230</v>
      </c>
      <c r="C72" s="57">
        <f>D72+F72+E72</f>
        <v>24764.401000000002</v>
      </c>
      <c r="D72" s="52">
        <v>21476.095000000001</v>
      </c>
      <c r="E72" s="52"/>
      <c r="F72" s="52">
        <v>3288.306</v>
      </c>
      <c r="G72" s="52"/>
      <c r="H72" s="57">
        <f t="shared" ref="H72:H89" si="34">I72+J72+K72</f>
        <v>6.4210000000000003</v>
      </c>
      <c r="I72" s="60">
        <v>5.5540000000000003</v>
      </c>
      <c r="J72" s="60"/>
      <c r="K72" s="60">
        <v>0.86699999999999999</v>
      </c>
      <c r="L72" s="52"/>
      <c r="M72" s="112">
        <f t="shared" si="33"/>
        <v>3856.7825883818723</v>
      </c>
      <c r="N72" s="58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1:23" ht="14.25" hidden="1" customHeight="1">
      <c r="A73" s="135"/>
      <c r="B73" s="140" t="s">
        <v>233</v>
      </c>
      <c r="C73" s="57">
        <f t="shared" ref="C73" si="35">D73+E73+F73</f>
        <v>0</v>
      </c>
      <c r="D73" s="60"/>
      <c r="E73" s="60"/>
      <c r="F73" s="60"/>
      <c r="G73" s="52"/>
      <c r="H73" s="57">
        <f>I73+J73+K73</f>
        <v>0</v>
      </c>
      <c r="I73" s="60"/>
      <c r="J73" s="60"/>
      <c r="K73" s="60"/>
      <c r="L73" s="52"/>
      <c r="M73" s="112" t="e">
        <f t="shared" si="33"/>
        <v>#DIV/0!</v>
      </c>
      <c r="N73" s="58"/>
      <c r="O73" s="61"/>
      <c r="P73" s="61"/>
      <c r="Q73" s="61"/>
      <c r="R73" s="61"/>
      <c r="S73" s="59"/>
      <c r="T73" s="59"/>
      <c r="U73" s="59"/>
      <c r="V73" s="59"/>
      <c r="W73" s="55"/>
    </row>
    <row r="74" spans="1:23" ht="14.25" hidden="1" customHeight="1">
      <c r="A74" s="135"/>
      <c r="B74" s="140" t="s">
        <v>274</v>
      </c>
      <c r="C74" s="57">
        <f t="shared" ref="C74:C77" si="36">D74+F74+E74</f>
        <v>0</v>
      </c>
      <c r="D74" s="52">
        <v>0</v>
      </c>
      <c r="E74" s="52"/>
      <c r="F74" s="52"/>
      <c r="G74" s="52"/>
      <c r="H74" s="57">
        <f t="shared" ref="H74:H81" si="37">I74+J74+K74</f>
        <v>0</v>
      </c>
      <c r="I74" s="52">
        <v>0</v>
      </c>
      <c r="J74" s="52"/>
      <c r="K74" s="52"/>
      <c r="L74" s="52"/>
      <c r="M74" s="112">
        <v>0</v>
      </c>
      <c r="N74" s="58"/>
      <c r="O74" s="61"/>
      <c r="P74" s="61"/>
      <c r="Q74" s="61"/>
      <c r="R74" s="61"/>
      <c r="S74" s="59"/>
      <c r="T74" s="59"/>
      <c r="U74" s="59"/>
      <c r="V74" s="59"/>
      <c r="W74" s="55"/>
    </row>
    <row r="75" spans="1:23" ht="14.25" customHeight="1">
      <c r="A75" s="135"/>
      <c r="B75" s="140" t="s">
        <v>231</v>
      </c>
      <c r="C75" s="57">
        <f t="shared" si="36"/>
        <v>12414.179</v>
      </c>
      <c r="D75" s="52">
        <v>12414.179</v>
      </c>
      <c r="E75" s="52"/>
      <c r="F75" s="52"/>
      <c r="G75" s="52"/>
      <c r="H75" s="57">
        <f t="shared" si="37"/>
        <v>2.9889999999999999</v>
      </c>
      <c r="I75" s="52">
        <v>2.9889999999999999</v>
      </c>
      <c r="J75" s="52"/>
      <c r="K75" s="52"/>
      <c r="L75" s="52"/>
      <c r="M75" s="112">
        <f t="shared" si="33"/>
        <v>4153.2883907661426</v>
      </c>
      <c r="N75" s="58"/>
      <c r="O75" s="61"/>
      <c r="P75" s="61"/>
      <c r="Q75" s="61"/>
      <c r="R75" s="61"/>
      <c r="S75" s="59"/>
      <c r="T75" s="59"/>
      <c r="U75" s="59"/>
      <c r="V75" s="59"/>
      <c r="W75" s="55"/>
    </row>
    <row r="76" spans="1:23" ht="14.25" customHeight="1">
      <c r="A76" s="135"/>
      <c r="B76" s="155" t="s">
        <v>254</v>
      </c>
      <c r="C76" s="57">
        <f t="shared" si="36"/>
        <v>159325.364</v>
      </c>
      <c r="D76" s="52">
        <v>28827.532999999999</v>
      </c>
      <c r="E76" s="52">
        <v>122277.00199999999</v>
      </c>
      <c r="F76" s="52">
        <v>8220.8289999999997</v>
      </c>
      <c r="G76" s="52"/>
      <c r="H76" s="57">
        <f t="shared" si="37"/>
        <v>39.620000000000005</v>
      </c>
      <c r="I76" s="52">
        <v>7.4009999999999998</v>
      </c>
      <c r="J76" s="52">
        <v>30.042999999999999</v>
      </c>
      <c r="K76" s="52">
        <v>2.1760000000000002</v>
      </c>
      <c r="L76" s="52"/>
      <c r="M76" s="112">
        <f t="shared" si="33"/>
        <v>4021.336799596163</v>
      </c>
      <c r="N76" s="58"/>
      <c r="O76" s="61"/>
      <c r="P76" s="61"/>
      <c r="Q76" s="61"/>
      <c r="R76" s="61"/>
      <c r="S76" s="59"/>
      <c r="T76" s="59"/>
      <c r="U76" s="59"/>
      <c r="V76" s="59"/>
      <c r="W76" s="55"/>
    </row>
    <row r="77" spans="1:23" ht="14.25" hidden="1" customHeight="1">
      <c r="A77" s="135"/>
      <c r="B77" s="155" t="s">
        <v>233</v>
      </c>
      <c r="C77" s="57">
        <f t="shared" si="36"/>
        <v>0</v>
      </c>
      <c r="D77" s="52"/>
      <c r="E77" s="52"/>
      <c r="F77" s="52"/>
      <c r="G77" s="52"/>
      <c r="H77" s="57">
        <f t="shared" si="37"/>
        <v>0</v>
      </c>
      <c r="I77" s="52"/>
      <c r="J77" s="52"/>
      <c r="K77" s="52"/>
      <c r="L77" s="52"/>
      <c r="M77" s="112" t="e">
        <f t="shared" si="33"/>
        <v>#DIV/0!</v>
      </c>
      <c r="N77" s="58"/>
      <c r="O77" s="61"/>
      <c r="P77" s="61"/>
      <c r="Q77" s="61"/>
      <c r="R77" s="61"/>
      <c r="S77" s="59"/>
      <c r="T77" s="59"/>
      <c r="U77" s="59"/>
      <c r="V77" s="59"/>
      <c r="W77" s="55"/>
    </row>
    <row r="78" spans="1:23" ht="14.25" customHeight="1">
      <c r="A78" s="135"/>
      <c r="B78" s="155" t="s">
        <v>268</v>
      </c>
      <c r="C78" s="57">
        <f t="shared" ref="C78" si="38">D78+F78+E78</f>
        <v>10914.656000000001</v>
      </c>
      <c r="D78" s="52">
        <v>10914.656000000001</v>
      </c>
      <c r="E78" s="52"/>
      <c r="F78" s="52"/>
      <c r="G78" s="52"/>
      <c r="H78" s="57">
        <f t="shared" ref="H78:H79" si="39">I78+J78+K78</f>
        <v>2.891</v>
      </c>
      <c r="I78" s="52">
        <v>2.891</v>
      </c>
      <c r="J78" s="52"/>
      <c r="K78" s="52"/>
      <c r="L78" s="52"/>
      <c r="M78" s="112">
        <f t="shared" ref="M78:M79" si="40">C78/H78</f>
        <v>3775.3912141127639</v>
      </c>
      <c r="N78" s="58"/>
      <c r="O78" s="61"/>
      <c r="P78" s="61"/>
      <c r="Q78" s="61"/>
      <c r="R78" s="61"/>
      <c r="S78" s="59"/>
      <c r="T78" s="59"/>
      <c r="U78" s="59"/>
      <c r="V78" s="59"/>
      <c r="W78" s="55"/>
    </row>
    <row r="79" spans="1:23">
      <c r="A79" s="135"/>
      <c r="B79" s="56" t="str">
        <f>B35</f>
        <v>АО "ЭПК"</v>
      </c>
      <c r="C79" s="57">
        <f t="shared" ref="C79" si="41">D79+E79+F79</f>
        <v>4381.3370000000004</v>
      </c>
      <c r="D79" s="52">
        <v>180.631</v>
      </c>
      <c r="E79" s="52">
        <v>4200.7060000000001</v>
      </c>
      <c r="F79" s="52"/>
      <c r="G79" s="52"/>
      <c r="H79" s="57">
        <f t="shared" si="39"/>
        <v>1.17</v>
      </c>
      <c r="I79" s="52">
        <v>4.7E-2</v>
      </c>
      <c r="J79" s="52">
        <v>1.123</v>
      </c>
      <c r="K79" s="52"/>
      <c r="L79" s="52"/>
      <c r="M79" s="112">
        <f t="shared" si="40"/>
        <v>3744.7324786324793</v>
      </c>
      <c r="N79" s="58"/>
      <c r="O79" s="61"/>
      <c r="P79" s="61"/>
      <c r="Q79" s="61"/>
      <c r="R79" s="61"/>
      <c r="S79" s="59"/>
      <c r="T79" s="55"/>
      <c r="U79" s="55"/>
      <c r="V79" s="55"/>
      <c r="W79" s="55"/>
    </row>
    <row r="80" spans="1:23">
      <c r="A80" s="135"/>
      <c r="B80" s="56" t="s">
        <v>281</v>
      </c>
      <c r="C80" s="57">
        <f t="shared" ref="C80" si="42">D80+E80+F80</f>
        <v>198.28</v>
      </c>
      <c r="D80" s="52">
        <v>16.867000000000001</v>
      </c>
      <c r="E80" s="52">
        <v>28.373000000000001</v>
      </c>
      <c r="F80" s="52">
        <v>153.04</v>
      </c>
      <c r="G80" s="52"/>
      <c r="H80" s="57">
        <f t="shared" ref="H80" si="43">I80+J80+K80</f>
        <v>4.5999999999999999E-2</v>
      </c>
      <c r="I80" s="52">
        <v>4.0000000000000001E-3</v>
      </c>
      <c r="J80" s="52">
        <v>8.0000000000000002E-3</v>
      </c>
      <c r="K80" s="52">
        <v>3.4000000000000002E-2</v>
      </c>
      <c r="L80" s="52"/>
      <c r="M80" s="112">
        <f t="shared" ref="M80" si="44">C80/H80</f>
        <v>4310.434782608696</v>
      </c>
      <c r="N80" s="58"/>
      <c r="O80" s="61"/>
      <c r="P80" s="61"/>
      <c r="Q80" s="61"/>
      <c r="R80" s="61"/>
      <c r="S80" s="59"/>
      <c r="T80" s="55"/>
      <c r="U80" s="55"/>
      <c r="V80" s="55"/>
      <c r="W80" s="55"/>
    </row>
    <row r="81" spans="1:23" ht="14.25" customHeight="1">
      <c r="A81" s="135"/>
      <c r="B81" s="140" t="s">
        <v>255</v>
      </c>
      <c r="C81" s="57">
        <f>D81+F81+E81</f>
        <v>15443.329000000002</v>
      </c>
      <c r="D81" s="52">
        <v>11128.638000000001</v>
      </c>
      <c r="E81" s="52">
        <v>391.90899999999999</v>
      </c>
      <c r="F81" s="52">
        <v>3922.7820000000002</v>
      </c>
      <c r="G81" s="52"/>
      <c r="H81" s="57">
        <f t="shared" si="37"/>
        <v>4.3959999999999999</v>
      </c>
      <c r="I81" s="60">
        <v>3.157</v>
      </c>
      <c r="J81" s="60">
        <v>8.5999999999999993E-2</v>
      </c>
      <c r="K81" s="60">
        <v>1.153</v>
      </c>
      <c r="L81" s="52"/>
      <c r="M81" s="112">
        <f t="shared" si="33"/>
        <v>3513.0411737943591</v>
      </c>
      <c r="N81" s="58"/>
      <c r="O81" s="61"/>
      <c r="P81" s="61"/>
      <c r="Q81" s="61"/>
      <c r="R81" s="61"/>
      <c r="S81" s="59"/>
      <c r="T81" s="59"/>
      <c r="U81" s="59"/>
      <c r="V81" s="59"/>
      <c r="W81" s="55"/>
    </row>
    <row r="82" spans="1:23">
      <c r="A82" s="141" t="s">
        <v>94</v>
      </c>
      <c r="B82" s="142" t="s">
        <v>95</v>
      </c>
      <c r="C82" s="57">
        <f>D82+E82+F82</f>
        <v>40985.204999999994</v>
      </c>
      <c r="D82" s="57">
        <f>SUM(D83:D89)</f>
        <v>6574.3549999999996</v>
      </c>
      <c r="E82" s="57">
        <f>SUM(E83:E89)</f>
        <v>34122.991999999998</v>
      </c>
      <c r="F82" s="57">
        <f>SUM(F83:F89)</f>
        <v>287.858</v>
      </c>
      <c r="G82" s="57"/>
      <c r="H82" s="57">
        <f t="shared" si="34"/>
        <v>11.353999999999999</v>
      </c>
      <c r="I82" s="57">
        <f>SUM(I83:I89)</f>
        <v>1.968</v>
      </c>
      <c r="J82" s="57">
        <f>SUM(J83:J89)</f>
        <v>9.3140000000000001</v>
      </c>
      <c r="K82" s="57">
        <f>SUM(K83:K89)</f>
        <v>7.1999999999999995E-2</v>
      </c>
      <c r="L82" s="57"/>
      <c r="M82" s="112">
        <f t="shared" si="33"/>
        <v>3609.759115730139</v>
      </c>
      <c r="N82" s="58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1:23">
      <c r="A83" s="135"/>
      <c r="B83" s="140" t="s">
        <v>275</v>
      </c>
      <c r="C83" s="57">
        <f>D83+E83+F83</f>
        <v>54.142000000000003</v>
      </c>
      <c r="D83" s="52"/>
      <c r="E83" s="52"/>
      <c r="F83" s="52">
        <v>54.142000000000003</v>
      </c>
      <c r="G83" s="52"/>
      <c r="H83" s="57">
        <f t="shared" si="34"/>
        <v>1.4E-2</v>
      </c>
      <c r="I83" s="52"/>
      <c r="J83" s="52"/>
      <c r="K83" s="52">
        <v>1.4E-2</v>
      </c>
      <c r="L83" s="52"/>
      <c r="M83" s="112">
        <f t="shared" si="33"/>
        <v>3867.2857142857142</v>
      </c>
      <c r="N83" s="58"/>
      <c r="O83" s="53"/>
      <c r="P83" s="53"/>
      <c r="Q83" s="53"/>
      <c r="R83" s="53"/>
      <c r="S83" s="59"/>
      <c r="T83" s="55"/>
      <c r="U83" s="55"/>
      <c r="V83" s="55"/>
      <c r="W83" s="55"/>
    </row>
    <row r="84" spans="1:23">
      <c r="A84" s="135"/>
      <c r="B84" s="140" t="s">
        <v>283</v>
      </c>
      <c r="C84" s="57">
        <f>D84+E84+F84</f>
        <v>178.952</v>
      </c>
      <c r="D84" s="52"/>
      <c r="E84" s="52">
        <v>19.452000000000002</v>
      </c>
      <c r="F84" s="52">
        <v>159.5</v>
      </c>
      <c r="G84" s="52"/>
      <c r="H84" s="57">
        <f t="shared" ref="H84" si="45">I84+J84+K84</f>
        <v>4.4999999999999998E-2</v>
      </c>
      <c r="I84" s="52"/>
      <c r="J84" s="52">
        <v>5.0000000000000001E-3</v>
      </c>
      <c r="K84" s="52">
        <v>0.04</v>
      </c>
      <c r="L84" s="52"/>
      <c r="M84" s="112">
        <f t="shared" ref="M84" si="46">C84/H84</f>
        <v>3976.7111111111112</v>
      </c>
      <c r="N84" s="58"/>
      <c r="O84" s="53"/>
      <c r="P84" s="53"/>
      <c r="Q84" s="53"/>
      <c r="R84" s="53"/>
      <c r="S84" s="59"/>
      <c r="T84" s="55"/>
      <c r="U84" s="55"/>
      <c r="V84" s="55"/>
      <c r="W84" s="55"/>
    </row>
    <row r="85" spans="1:23">
      <c r="A85" s="135"/>
      <c r="B85" s="140" t="s">
        <v>252</v>
      </c>
      <c r="C85" s="57">
        <f t="shared" ref="C85:C87" si="47">D85+E85+F85</f>
        <v>30084.177</v>
      </c>
      <c r="D85" s="52"/>
      <c r="E85" s="52">
        <v>30009.960999999999</v>
      </c>
      <c r="F85" s="52">
        <v>74.215999999999994</v>
      </c>
      <c r="G85" s="52"/>
      <c r="H85" s="57">
        <f t="shared" si="34"/>
        <v>8.2100000000000009</v>
      </c>
      <c r="I85" s="52"/>
      <c r="J85" s="52">
        <v>8.1920000000000002</v>
      </c>
      <c r="K85" s="52">
        <v>1.7999999999999999E-2</v>
      </c>
      <c r="L85" s="52"/>
      <c r="M85" s="112">
        <f t="shared" si="33"/>
        <v>3664.3333739342261</v>
      </c>
      <c r="N85" s="58"/>
      <c r="O85" s="53"/>
      <c r="P85" s="53"/>
      <c r="Q85" s="53"/>
      <c r="R85" s="53"/>
      <c r="S85" s="59"/>
      <c r="T85" s="55"/>
      <c r="U85" s="55"/>
      <c r="V85" s="55"/>
      <c r="W85" s="55"/>
    </row>
    <row r="86" spans="1:23">
      <c r="A86" s="135"/>
      <c r="B86" s="140" t="s">
        <v>253</v>
      </c>
      <c r="C86" s="57">
        <f t="shared" ref="C86" si="48">D86+E86+F86</f>
        <v>6574.3549999999996</v>
      </c>
      <c r="D86" s="52">
        <v>6574.3549999999996</v>
      </c>
      <c r="E86" s="52"/>
      <c r="F86" s="52"/>
      <c r="G86" s="52"/>
      <c r="H86" s="57">
        <f t="shared" ref="H86" si="49">I86+J86+K86</f>
        <v>1.968</v>
      </c>
      <c r="I86" s="52">
        <v>1.968</v>
      </c>
      <c r="J86" s="52"/>
      <c r="K86" s="52"/>
      <c r="L86" s="52"/>
      <c r="M86" s="112">
        <f t="shared" ref="M86" si="50">C86/H86</f>
        <v>3340.6275406504064</v>
      </c>
      <c r="N86" s="58"/>
      <c r="O86" s="53"/>
      <c r="P86" s="53"/>
      <c r="Q86" s="53"/>
      <c r="R86" s="53"/>
      <c r="S86" s="59"/>
      <c r="T86" s="55"/>
      <c r="U86" s="55"/>
      <c r="V86" s="55"/>
      <c r="W86" s="55"/>
    </row>
    <row r="87" spans="1:23">
      <c r="A87" s="135"/>
      <c r="B87" s="140" t="s">
        <v>234</v>
      </c>
      <c r="C87" s="57">
        <f t="shared" si="47"/>
        <v>4093.5790000000002</v>
      </c>
      <c r="D87" s="52"/>
      <c r="E87" s="52">
        <v>4093.5790000000002</v>
      </c>
      <c r="F87" s="52"/>
      <c r="G87" s="52"/>
      <c r="H87" s="57">
        <f t="shared" si="34"/>
        <v>1.117</v>
      </c>
      <c r="I87" s="52"/>
      <c r="J87" s="52">
        <v>1.117</v>
      </c>
      <c r="K87" s="52"/>
      <c r="L87" s="52"/>
      <c r="M87" s="112">
        <f t="shared" si="33"/>
        <v>3664.797672336616</v>
      </c>
      <c r="N87" s="58"/>
      <c r="O87" s="53"/>
      <c r="P87" s="53"/>
      <c r="Q87" s="53"/>
      <c r="R87" s="53"/>
      <c r="S87" s="59"/>
      <c r="T87" s="55"/>
      <c r="U87" s="55"/>
      <c r="V87" s="55"/>
      <c r="W87" s="55"/>
    </row>
    <row r="88" spans="1:23" hidden="1">
      <c r="A88" s="135"/>
      <c r="B88" s="140"/>
      <c r="C88" s="57"/>
      <c r="D88" s="52"/>
      <c r="E88" s="52"/>
      <c r="F88" s="52"/>
      <c r="G88" s="52"/>
      <c r="H88" s="57"/>
      <c r="I88" s="52"/>
      <c r="J88" s="52"/>
      <c r="K88" s="52"/>
      <c r="L88" s="52"/>
      <c r="M88" s="112"/>
      <c r="N88" s="58"/>
      <c r="O88" s="53"/>
      <c r="P88" s="53"/>
      <c r="Q88" s="53"/>
      <c r="R88" s="53"/>
      <c r="S88" s="59"/>
      <c r="T88" s="55"/>
      <c r="U88" s="59"/>
      <c r="V88" s="55"/>
      <c r="W88" s="55"/>
    </row>
    <row r="89" spans="1:23" hidden="1">
      <c r="A89" s="135"/>
      <c r="B89" s="140"/>
      <c r="C89" s="57">
        <f>D89+E89+F89</f>
        <v>0</v>
      </c>
      <c r="D89" s="52"/>
      <c r="E89" s="52"/>
      <c r="F89" s="52"/>
      <c r="G89" s="52"/>
      <c r="H89" s="57">
        <f t="shared" si="34"/>
        <v>0</v>
      </c>
      <c r="I89" s="52"/>
      <c r="J89" s="52"/>
      <c r="K89" s="52"/>
      <c r="L89" s="52"/>
      <c r="M89" s="112">
        <v>0</v>
      </c>
      <c r="N89" s="58"/>
      <c r="O89" s="53"/>
      <c r="P89" s="53"/>
      <c r="Q89" s="53"/>
      <c r="R89" s="53"/>
      <c r="S89" s="59"/>
      <c r="T89" s="55"/>
      <c r="U89" s="59"/>
      <c r="V89" s="55"/>
      <c r="W89" s="55"/>
    </row>
    <row r="90" spans="1:23" s="24" customFormat="1">
      <c r="A90" s="141" t="s">
        <v>96</v>
      </c>
      <c r="B90" s="137" t="s">
        <v>97</v>
      </c>
      <c r="C90" s="57">
        <f t="shared" ref="C90:L90" si="51">C82+C60+C52</f>
        <v>306771.99800000002</v>
      </c>
      <c r="D90" s="57">
        <f t="shared" si="51"/>
        <v>98181.706000000006</v>
      </c>
      <c r="E90" s="57">
        <f t="shared" si="51"/>
        <v>185971.41</v>
      </c>
      <c r="F90" s="57">
        <f t="shared" si="51"/>
        <v>22583.063000000002</v>
      </c>
      <c r="G90" s="57">
        <f t="shared" si="51"/>
        <v>35.819000000000003</v>
      </c>
      <c r="H90" s="57">
        <f t="shared" si="51"/>
        <v>79.375</v>
      </c>
      <c r="I90" s="57">
        <f t="shared" si="51"/>
        <v>25.825000000000003</v>
      </c>
      <c r="J90" s="57">
        <f t="shared" si="51"/>
        <v>47.36</v>
      </c>
      <c r="K90" s="57">
        <f t="shared" si="51"/>
        <v>6.18</v>
      </c>
      <c r="L90" s="57">
        <f t="shared" si="51"/>
        <v>0.01</v>
      </c>
      <c r="M90" s="112">
        <f t="shared" si="33"/>
        <v>3864.8440692913387</v>
      </c>
      <c r="N90" s="58"/>
      <c r="O90" s="113"/>
      <c r="P90" s="113"/>
      <c r="Q90" s="113"/>
      <c r="R90" s="113"/>
      <c r="S90" s="113"/>
      <c r="T90" s="113"/>
      <c r="U90" s="113"/>
      <c r="V90" s="113"/>
      <c r="W90" s="113"/>
    </row>
    <row r="92" spans="1:23" s="24" customFormat="1" ht="25.5" customHeight="1">
      <c r="A92" s="208" t="s">
        <v>70</v>
      </c>
      <c r="B92" s="208" t="s">
        <v>14</v>
      </c>
      <c r="C92" s="209" t="s">
        <v>71</v>
      </c>
      <c r="D92" s="209"/>
      <c r="E92" s="209"/>
      <c r="F92" s="209"/>
      <c r="G92" s="209"/>
      <c r="H92" s="212" t="s">
        <v>72</v>
      </c>
      <c r="I92" s="212"/>
      <c r="J92" s="212"/>
      <c r="K92" s="212"/>
      <c r="L92" s="212"/>
      <c r="M92" s="213" t="s">
        <v>73</v>
      </c>
      <c r="N92" s="214" t="s">
        <v>74</v>
      </c>
      <c r="O92" s="215"/>
      <c r="P92" s="215"/>
      <c r="Q92" s="215"/>
      <c r="R92" s="216"/>
      <c r="S92" s="217" t="s">
        <v>75</v>
      </c>
      <c r="T92" s="217"/>
      <c r="U92" s="217"/>
      <c r="V92" s="217"/>
      <c r="W92" s="217"/>
    </row>
    <row r="93" spans="1:23" s="24" customFormat="1" ht="18" customHeight="1">
      <c r="A93" s="208"/>
      <c r="B93" s="208"/>
      <c r="C93" s="47" t="s">
        <v>76</v>
      </c>
      <c r="D93" s="47" t="s">
        <v>6</v>
      </c>
      <c r="E93" s="47" t="s">
        <v>7</v>
      </c>
      <c r="F93" s="47" t="s">
        <v>77</v>
      </c>
      <c r="G93" s="47" t="s">
        <v>9</v>
      </c>
      <c r="H93" s="47" t="s">
        <v>76</v>
      </c>
      <c r="I93" s="47" t="s">
        <v>6</v>
      </c>
      <c r="J93" s="47" t="s">
        <v>7</v>
      </c>
      <c r="K93" s="47" t="s">
        <v>77</v>
      </c>
      <c r="L93" s="47" t="s">
        <v>9</v>
      </c>
      <c r="M93" s="213"/>
      <c r="N93" s="26" t="s">
        <v>76</v>
      </c>
      <c r="O93" s="48" t="s">
        <v>6</v>
      </c>
      <c r="P93" s="48" t="s">
        <v>7</v>
      </c>
      <c r="Q93" s="48" t="s">
        <v>77</v>
      </c>
      <c r="R93" s="48" t="s">
        <v>9</v>
      </c>
      <c r="S93" s="26" t="s">
        <v>76</v>
      </c>
      <c r="T93" s="26" t="s">
        <v>6</v>
      </c>
      <c r="U93" s="26" t="s">
        <v>7</v>
      </c>
      <c r="V93" s="26" t="s">
        <v>77</v>
      </c>
      <c r="W93" s="26" t="s">
        <v>9</v>
      </c>
    </row>
    <row r="94" spans="1:23" s="51" customFormat="1" ht="13.5" customHeight="1">
      <c r="A94" s="49">
        <v>1</v>
      </c>
      <c r="B94" s="50">
        <f t="shared" ref="B94" si="52">+A94+1</f>
        <v>2</v>
      </c>
      <c r="C94" s="50">
        <f>+B94+1</f>
        <v>3</v>
      </c>
      <c r="D94" s="50">
        <f t="shared" ref="D94:W94" si="53">+C94+1</f>
        <v>4</v>
      </c>
      <c r="E94" s="50">
        <f t="shared" si="53"/>
        <v>5</v>
      </c>
      <c r="F94" s="50">
        <f t="shared" si="53"/>
        <v>6</v>
      </c>
      <c r="G94" s="50">
        <f t="shared" si="53"/>
        <v>7</v>
      </c>
      <c r="H94" s="50">
        <f t="shared" si="53"/>
        <v>8</v>
      </c>
      <c r="I94" s="50">
        <f t="shared" si="53"/>
        <v>9</v>
      </c>
      <c r="J94" s="50">
        <f t="shared" si="53"/>
        <v>10</v>
      </c>
      <c r="K94" s="50">
        <f t="shared" si="53"/>
        <v>11</v>
      </c>
      <c r="L94" s="50">
        <f t="shared" si="53"/>
        <v>12</v>
      </c>
      <c r="M94" s="50">
        <f t="shared" si="53"/>
        <v>13</v>
      </c>
      <c r="N94" s="50">
        <f t="shared" si="53"/>
        <v>14</v>
      </c>
      <c r="O94" s="50">
        <f t="shared" si="53"/>
        <v>15</v>
      </c>
      <c r="P94" s="50">
        <f t="shared" si="53"/>
        <v>16</v>
      </c>
      <c r="Q94" s="50">
        <f t="shared" si="53"/>
        <v>17</v>
      </c>
      <c r="R94" s="50">
        <f t="shared" si="53"/>
        <v>18</v>
      </c>
      <c r="S94" s="50">
        <f t="shared" si="53"/>
        <v>19</v>
      </c>
      <c r="T94" s="50">
        <f t="shared" si="53"/>
        <v>20</v>
      </c>
      <c r="U94" s="50">
        <f t="shared" si="53"/>
        <v>21</v>
      </c>
      <c r="V94" s="50">
        <f t="shared" si="53"/>
        <v>22</v>
      </c>
      <c r="W94" s="50">
        <f t="shared" si="53"/>
        <v>23</v>
      </c>
    </row>
    <row r="95" spans="1:23" ht="15" customHeight="1">
      <c r="A95" s="205" t="str">
        <f>'П1.5'!N4</f>
        <v>ФАКТ 2024 год</v>
      </c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7"/>
    </row>
    <row r="96" spans="1:23" s="24" customFormat="1">
      <c r="A96" s="133">
        <v>1</v>
      </c>
      <c r="B96" s="134" t="s">
        <v>16</v>
      </c>
      <c r="C96" s="57">
        <f>SUM(D96:G96)</f>
        <v>2179.8719999999998</v>
      </c>
      <c r="D96" s="57">
        <f>D98+D99</f>
        <v>335.22300000000001</v>
      </c>
      <c r="E96" s="57">
        <f>SUM(E98:E102)</f>
        <v>0</v>
      </c>
      <c r="F96" s="57">
        <f>F99+F100+F103+F98</f>
        <v>1776.1519999999998</v>
      </c>
      <c r="G96" s="57">
        <f>SUM(G97:G103)</f>
        <v>68.497</v>
      </c>
      <c r="H96" s="57">
        <f>SUM(I96:L96)+0.001</f>
        <v>0.311</v>
      </c>
      <c r="I96" s="57">
        <f>I98+I99</f>
        <v>4.7500000000000007E-2</v>
      </c>
      <c r="J96" s="57">
        <f>SUM(J97:J101)</f>
        <v>0</v>
      </c>
      <c r="K96" s="57">
        <f>K99+K100+K103+K98</f>
        <v>0.2525</v>
      </c>
      <c r="L96" s="57">
        <f>SUM(L97:L103)</f>
        <v>0.01</v>
      </c>
      <c r="M96" s="112">
        <f>C96/H96</f>
        <v>7009.2347266881025</v>
      </c>
      <c r="N96" s="58"/>
      <c r="O96" s="113"/>
      <c r="P96" s="113"/>
      <c r="Q96" s="113"/>
      <c r="R96" s="113"/>
      <c r="S96" s="113"/>
      <c r="T96" s="113"/>
      <c r="U96" s="113"/>
      <c r="V96" s="113"/>
      <c r="W96" s="113"/>
    </row>
    <row r="97" spans="1:23">
      <c r="A97" s="135" t="s">
        <v>25</v>
      </c>
      <c r="B97" s="136" t="s">
        <v>17</v>
      </c>
      <c r="C97" s="57"/>
      <c r="D97" s="52"/>
      <c r="E97" s="52"/>
      <c r="F97" s="52"/>
      <c r="G97" s="52"/>
      <c r="H97" s="57"/>
      <c r="I97" s="52"/>
      <c r="J97" s="52"/>
      <c r="K97" s="52"/>
      <c r="L97" s="52"/>
      <c r="M97" s="112"/>
      <c r="N97" s="58"/>
      <c r="O97" s="53"/>
      <c r="P97" s="53"/>
      <c r="Q97" s="53"/>
      <c r="R97" s="53"/>
      <c r="S97" s="54"/>
      <c r="T97" s="55"/>
      <c r="U97" s="55"/>
      <c r="V97" s="55"/>
      <c r="W97" s="55"/>
    </row>
    <row r="98" spans="1:23" s="24" customFormat="1" ht="13.5" customHeight="1">
      <c r="A98" s="135" t="s">
        <v>78</v>
      </c>
      <c r="B98" s="136" t="s">
        <v>79</v>
      </c>
      <c r="C98" s="57">
        <f>D98+F98</f>
        <v>146.00299999999999</v>
      </c>
      <c r="D98" s="52"/>
      <c r="E98" s="52"/>
      <c r="F98" s="52">
        <f>F54+F11</f>
        <v>146.00299999999999</v>
      </c>
      <c r="G98" s="52"/>
      <c r="H98" s="57">
        <f>I98+K98</f>
        <v>2.1000000000000001E-2</v>
      </c>
      <c r="I98" s="52"/>
      <c r="J98" s="52"/>
      <c r="K98" s="60">
        <f>(K11*6+K54*6)/12</f>
        <v>2.1000000000000001E-2</v>
      </c>
      <c r="L98" s="52"/>
      <c r="M98" s="112">
        <f t="shared" ref="M98:M99" si="54">C98/H98</f>
        <v>6952.5238095238083</v>
      </c>
      <c r="N98" s="58"/>
      <c r="O98" s="53"/>
      <c r="P98" s="53"/>
      <c r="Q98" s="53"/>
      <c r="R98" s="53"/>
      <c r="S98" s="54"/>
      <c r="T98" s="55"/>
      <c r="U98" s="55"/>
      <c r="V98" s="55"/>
      <c r="W98" s="55"/>
    </row>
    <row r="99" spans="1:23" s="24" customFormat="1">
      <c r="A99" s="135" t="s">
        <v>80</v>
      </c>
      <c r="B99" s="136" t="s">
        <v>81</v>
      </c>
      <c r="C99" s="57">
        <f>SUM(D99:G99)</f>
        <v>2003.299</v>
      </c>
      <c r="D99" s="52">
        <f>D55+D12</f>
        <v>335.22300000000001</v>
      </c>
      <c r="E99" s="52"/>
      <c r="F99" s="52">
        <f>F55+F12</f>
        <v>1599.579</v>
      </c>
      <c r="G99" s="52">
        <f>G55+G12</f>
        <v>68.497</v>
      </c>
      <c r="H99" s="57">
        <f>SUM(I99:L99)</f>
        <v>0.28450000000000003</v>
      </c>
      <c r="I99" s="60">
        <f>(I12*6+I55*6)/12</f>
        <v>4.7500000000000007E-2</v>
      </c>
      <c r="J99" s="60">
        <f>(J12*6+J55*6)/12</f>
        <v>0</v>
      </c>
      <c r="K99" s="60">
        <f>(K12*6+K55*6)/12-0.001</f>
        <v>0.22700000000000001</v>
      </c>
      <c r="L99" s="60">
        <f>(L12*6+L55*6)/12</f>
        <v>0.01</v>
      </c>
      <c r="M99" s="112">
        <f t="shared" si="54"/>
        <v>7041.4727592267127</v>
      </c>
      <c r="N99" s="58"/>
      <c r="O99" s="53"/>
      <c r="P99" s="53"/>
      <c r="Q99" s="53"/>
      <c r="R99" s="53"/>
      <c r="S99" s="54"/>
      <c r="T99" s="55"/>
      <c r="U99" s="55"/>
      <c r="V99" s="55"/>
      <c r="W99" s="55"/>
    </row>
    <row r="100" spans="1:23" s="24" customFormat="1">
      <c r="A100" s="135" t="s">
        <v>82</v>
      </c>
      <c r="B100" s="136" t="s">
        <v>83</v>
      </c>
      <c r="C100" s="57">
        <f>SUM(D100:F100)</f>
        <v>0</v>
      </c>
      <c r="D100" s="52"/>
      <c r="E100" s="52"/>
      <c r="F100" s="52"/>
      <c r="G100" s="52"/>
      <c r="H100" s="57">
        <f>I100+K100</f>
        <v>0</v>
      </c>
      <c r="I100" s="52"/>
      <c r="J100" s="52"/>
      <c r="K100" s="52"/>
      <c r="L100" s="52"/>
      <c r="M100" s="112"/>
      <c r="N100" s="58"/>
      <c r="O100" s="53"/>
      <c r="P100" s="53"/>
      <c r="Q100" s="53"/>
      <c r="R100" s="53"/>
      <c r="S100" s="54"/>
      <c r="T100" s="55"/>
      <c r="U100" s="55"/>
      <c r="V100" s="55"/>
      <c r="W100" s="55"/>
    </row>
    <row r="101" spans="1:23" s="24" customFormat="1">
      <c r="A101" s="135" t="s">
        <v>26</v>
      </c>
      <c r="B101" s="136" t="s">
        <v>18</v>
      </c>
      <c r="C101" s="57"/>
      <c r="D101" s="52"/>
      <c r="E101" s="52"/>
      <c r="F101" s="52"/>
      <c r="G101" s="52"/>
      <c r="H101" s="57"/>
      <c r="I101" s="52"/>
      <c r="J101" s="52"/>
      <c r="K101" s="52"/>
      <c r="L101" s="52"/>
      <c r="M101" s="112"/>
      <c r="N101" s="58"/>
      <c r="O101" s="53"/>
      <c r="P101" s="53"/>
      <c r="Q101" s="53"/>
      <c r="R101" s="53"/>
      <c r="S101" s="54"/>
      <c r="T101" s="55"/>
      <c r="U101" s="55"/>
      <c r="V101" s="55"/>
      <c r="W101" s="55"/>
    </row>
    <row r="102" spans="1:23" s="24" customFormat="1">
      <c r="A102" s="135" t="s">
        <v>84</v>
      </c>
      <c r="B102" s="136" t="s">
        <v>79</v>
      </c>
      <c r="C102" s="57"/>
      <c r="D102" s="52"/>
      <c r="E102" s="52"/>
      <c r="F102" s="52"/>
      <c r="G102" s="52"/>
      <c r="H102" s="57"/>
      <c r="I102" s="52"/>
      <c r="J102" s="52"/>
      <c r="K102" s="52"/>
      <c r="L102" s="52"/>
      <c r="M102" s="112"/>
      <c r="N102" s="58"/>
      <c r="O102" s="53"/>
      <c r="P102" s="53"/>
      <c r="Q102" s="53"/>
      <c r="R102" s="53"/>
      <c r="S102" s="54"/>
      <c r="T102" s="55"/>
      <c r="U102" s="55"/>
      <c r="V102" s="55"/>
      <c r="W102" s="55"/>
    </row>
    <row r="103" spans="1:23" s="24" customFormat="1">
      <c r="A103" s="135" t="s">
        <v>85</v>
      </c>
      <c r="B103" s="136" t="s">
        <v>86</v>
      </c>
      <c r="C103" s="57">
        <f>D103+F103</f>
        <v>30.57</v>
      </c>
      <c r="D103" s="52"/>
      <c r="E103" s="52"/>
      <c r="F103" s="52">
        <f>F59+F16</f>
        <v>30.57</v>
      </c>
      <c r="G103" s="52"/>
      <c r="H103" s="57">
        <f>I103+K103</f>
        <v>4.4999999999999997E-3</v>
      </c>
      <c r="I103" s="52"/>
      <c r="J103" s="52"/>
      <c r="K103" s="60">
        <f>(K16*6+K59*6)/12</f>
        <v>4.4999999999999997E-3</v>
      </c>
      <c r="L103" s="52"/>
      <c r="M103" s="112">
        <f t="shared" ref="M103:M104" si="55">C103/H103</f>
        <v>6793.3333333333339</v>
      </c>
      <c r="N103" s="58"/>
      <c r="O103" s="113"/>
      <c r="P103" s="113"/>
      <c r="Q103" s="113"/>
      <c r="R103" s="113"/>
      <c r="S103" s="113"/>
      <c r="T103" s="113"/>
      <c r="U103" s="113"/>
      <c r="V103" s="113"/>
      <c r="W103" s="113"/>
    </row>
    <row r="104" spans="1:23" s="24" customFormat="1">
      <c r="A104" s="133" t="s">
        <v>19</v>
      </c>
      <c r="B104" s="137" t="s">
        <v>20</v>
      </c>
      <c r="C104" s="57">
        <f>C109+C115</f>
        <v>534941.65800000005</v>
      </c>
      <c r="D104" s="57">
        <f>D109+D115</f>
        <v>182323.08800000005</v>
      </c>
      <c r="E104" s="57">
        <f>E109+E115</f>
        <v>307818.89999999997</v>
      </c>
      <c r="F104" s="57">
        <f>F109+F115</f>
        <v>44799.67</v>
      </c>
      <c r="G104" s="57">
        <f>G109+G115</f>
        <v>0</v>
      </c>
      <c r="H104" s="57">
        <f>I104+J104+K104</f>
        <v>68.80149999999999</v>
      </c>
      <c r="I104" s="57">
        <f>I109+I115</f>
        <v>23.766999999999996</v>
      </c>
      <c r="J104" s="57">
        <f>J109+J115</f>
        <v>38.619999999999997</v>
      </c>
      <c r="K104" s="57">
        <f>K109+K115+0.001</f>
        <v>6.4145000000000012</v>
      </c>
      <c r="L104" s="57"/>
      <c r="M104" s="112">
        <f t="shared" si="55"/>
        <v>7775.1452802627873</v>
      </c>
      <c r="N104" s="58"/>
      <c r="O104" s="113"/>
      <c r="P104" s="113"/>
      <c r="Q104" s="113"/>
      <c r="R104" s="113"/>
      <c r="S104" s="113"/>
      <c r="T104" s="113"/>
      <c r="U104" s="113"/>
      <c r="V104" s="113"/>
      <c r="W104" s="113"/>
    </row>
    <row r="105" spans="1:23" s="24" customFormat="1">
      <c r="A105" s="135" t="s">
        <v>42</v>
      </c>
      <c r="B105" s="56" t="s">
        <v>87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112"/>
      <c r="N105" s="58"/>
      <c r="O105" s="113"/>
      <c r="P105" s="113"/>
      <c r="Q105" s="113"/>
      <c r="R105" s="113"/>
      <c r="S105" s="113"/>
      <c r="T105" s="113"/>
      <c r="U105" s="113"/>
      <c r="V105" s="113"/>
      <c r="W105" s="113"/>
    </row>
    <row r="106" spans="1:23">
      <c r="A106" s="138"/>
      <c r="B106" s="56" t="s">
        <v>88</v>
      </c>
      <c r="C106" s="57"/>
      <c r="D106" s="52"/>
      <c r="E106" s="52"/>
      <c r="F106" s="52"/>
      <c r="G106" s="52"/>
      <c r="H106" s="57"/>
      <c r="I106" s="52"/>
      <c r="J106" s="52"/>
      <c r="K106" s="52"/>
      <c r="L106" s="52"/>
      <c r="M106" s="112"/>
      <c r="N106" s="58"/>
      <c r="O106" s="53"/>
      <c r="P106" s="53"/>
      <c r="Q106" s="53"/>
      <c r="R106" s="53"/>
      <c r="S106" s="59"/>
      <c r="T106" s="55"/>
      <c r="U106" s="55"/>
      <c r="V106" s="55"/>
      <c r="W106" s="55"/>
    </row>
    <row r="107" spans="1:23">
      <c r="A107" s="138"/>
      <c r="B107" s="56" t="s">
        <v>89</v>
      </c>
      <c r="C107" s="57"/>
      <c r="D107" s="52"/>
      <c r="E107" s="52"/>
      <c r="F107" s="52"/>
      <c r="G107" s="52"/>
      <c r="H107" s="57"/>
      <c r="I107" s="52"/>
      <c r="J107" s="52"/>
      <c r="K107" s="52"/>
      <c r="L107" s="52"/>
      <c r="M107" s="112"/>
      <c r="N107" s="58"/>
      <c r="O107" s="53"/>
      <c r="P107" s="53"/>
      <c r="Q107" s="53"/>
      <c r="R107" s="53"/>
      <c r="S107" s="59"/>
      <c r="T107" s="55"/>
      <c r="U107" s="55"/>
      <c r="V107" s="55"/>
      <c r="W107" s="55"/>
    </row>
    <row r="108" spans="1:23">
      <c r="A108" s="135"/>
      <c r="B108" s="56" t="s">
        <v>90</v>
      </c>
      <c r="C108" s="57"/>
      <c r="D108" s="52"/>
      <c r="E108" s="52"/>
      <c r="F108" s="52"/>
      <c r="G108" s="52"/>
      <c r="H108" s="57"/>
      <c r="I108" s="52"/>
      <c r="J108" s="52"/>
      <c r="K108" s="52"/>
      <c r="L108" s="52"/>
      <c r="M108" s="112"/>
      <c r="N108" s="58"/>
      <c r="O108" s="53"/>
      <c r="P108" s="53"/>
      <c r="Q108" s="53"/>
      <c r="R108" s="53"/>
      <c r="S108" s="59"/>
      <c r="T108" s="55"/>
      <c r="U108" s="55"/>
      <c r="V108" s="55"/>
      <c r="W108" s="55"/>
    </row>
    <row r="109" spans="1:23" s="24" customFormat="1">
      <c r="A109" s="135" t="s">
        <v>46</v>
      </c>
      <c r="B109" s="139" t="s">
        <v>91</v>
      </c>
      <c r="C109" s="57">
        <f>D109+E109+F109</f>
        <v>79349.914000000004</v>
      </c>
      <c r="D109" s="57">
        <f>SUM(D110:D114)</f>
        <v>16971.577999999998</v>
      </c>
      <c r="E109" s="57">
        <f t="shared" ref="E109:G109" si="56">SUM(E110:E114)</f>
        <v>48675.132000000005</v>
      </c>
      <c r="F109" s="57">
        <f t="shared" si="56"/>
        <v>13703.204000000002</v>
      </c>
      <c r="G109" s="57">
        <f t="shared" si="56"/>
        <v>0</v>
      </c>
      <c r="H109" s="57">
        <f>I109+J109+K109</f>
        <v>11.224</v>
      </c>
      <c r="I109" s="57">
        <f>I110+I111+I114</f>
        <v>2.1680000000000001</v>
      </c>
      <c r="J109" s="57">
        <f>J110+J111+J114+J112</f>
        <v>6.8305000000000007</v>
      </c>
      <c r="K109" s="57">
        <f>K110+K111+K114+K113</f>
        <v>2.2255000000000003</v>
      </c>
      <c r="L109" s="57"/>
      <c r="M109" s="112">
        <f t="shared" ref="M109" si="57">C109/H109</f>
        <v>7069.6644689950108</v>
      </c>
      <c r="N109" s="58"/>
      <c r="O109" s="113"/>
      <c r="P109" s="113"/>
      <c r="Q109" s="113"/>
      <c r="R109" s="113"/>
      <c r="S109" s="113"/>
      <c r="T109" s="113"/>
      <c r="U109" s="113"/>
      <c r="V109" s="113"/>
      <c r="W109" s="113"/>
    </row>
    <row r="110" spans="1:23">
      <c r="A110" s="135"/>
      <c r="B110" s="140" t="s">
        <v>267</v>
      </c>
      <c r="C110" s="57">
        <f t="shared" ref="C110:C114" si="58">D110+E110+F110</f>
        <v>18690.207999999999</v>
      </c>
      <c r="D110" s="52">
        <f>D66+D22</f>
        <v>6037.0109999999995</v>
      </c>
      <c r="E110" s="52">
        <f>E66+E22</f>
        <v>2563.4780000000001</v>
      </c>
      <c r="F110" s="52">
        <f>F66+F22</f>
        <v>10089.719000000001</v>
      </c>
      <c r="G110" s="52"/>
      <c r="H110" s="57">
        <f>I110+J110+K110</f>
        <v>2.5905000000000005</v>
      </c>
      <c r="I110" s="60">
        <f>(I22*6+I66*6)/12</f>
        <v>0.74400000000000011</v>
      </c>
      <c r="J110" s="60">
        <f>(J22*6+J66*6)/12</f>
        <v>0.27400000000000002</v>
      </c>
      <c r="K110" s="60">
        <f>(K22*6+K66*6)/12</f>
        <v>1.5725</v>
      </c>
      <c r="L110" s="52"/>
      <c r="M110" s="112">
        <f t="shared" ref="M110:M134" si="59">C110/H110</f>
        <v>7214.9036865469971</v>
      </c>
      <c r="N110" s="58"/>
      <c r="O110" s="61"/>
      <c r="P110" s="61"/>
      <c r="Q110" s="61"/>
      <c r="R110" s="61"/>
      <c r="S110" s="59"/>
      <c r="T110" s="55"/>
      <c r="U110" s="55"/>
      <c r="V110" s="55"/>
      <c r="W110" s="55"/>
    </row>
    <row r="111" spans="1:23">
      <c r="A111" s="135"/>
      <c r="B111" s="140" t="s">
        <v>232</v>
      </c>
      <c r="C111" s="57">
        <f t="shared" si="58"/>
        <v>10700.093000000001</v>
      </c>
      <c r="D111" s="52">
        <f>D67+D23</f>
        <v>10692.04</v>
      </c>
      <c r="E111" s="52"/>
      <c r="F111" s="52">
        <f>F67+F23</f>
        <v>8.0530000000000008</v>
      </c>
      <c r="G111" s="52"/>
      <c r="H111" s="57">
        <f t="shared" ref="H111:H114" si="60">I111+J111+K111</f>
        <v>1.3880000000000001</v>
      </c>
      <c r="I111" s="60">
        <f>(I23*6+I67*6)/12</f>
        <v>1.3870000000000002</v>
      </c>
      <c r="J111" s="60"/>
      <c r="K111" s="60">
        <f>(K23*6+K67*6)/12</f>
        <v>1E-3</v>
      </c>
      <c r="L111" s="52"/>
      <c r="M111" s="112">
        <f t="shared" si="59"/>
        <v>7709.0007204610947</v>
      </c>
      <c r="N111" s="58"/>
      <c r="O111" s="61"/>
      <c r="P111" s="61"/>
      <c r="Q111" s="61"/>
      <c r="R111" s="61"/>
      <c r="S111" s="59"/>
      <c r="T111" s="59"/>
      <c r="U111" s="55"/>
      <c r="V111" s="55"/>
      <c r="W111" s="55"/>
    </row>
    <row r="112" spans="1:23">
      <c r="A112" s="135"/>
      <c r="B112" s="56" t="s">
        <v>281</v>
      </c>
      <c r="C112" s="57">
        <f t="shared" si="58"/>
        <v>998.27800000000002</v>
      </c>
      <c r="D112" s="52"/>
      <c r="E112" s="52">
        <f>E68+E24</f>
        <v>998.27800000000002</v>
      </c>
      <c r="F112" s="60"/>
      <c r="G112" s="52"/>
      <c r="H112" s="57">
        <f t="shared" si="60"/>
        <v>0.13949999999999999</v>
      </c>
      <c r="I112" s="60"/>
      <c r="J112" s="60">
        <f>(J24*6+J68*6)/12</f>
        <v>0.13949999999999999</v>
      </c>
      <c r="K112" s="60"/>
      <c r="L112" s="52"/>
      <c r="M112" s="112">
        <f t="shared" si="59"/>
        <v>7156.1146953405023</v>
      </c>
      <c r="N112" s="58"/>
      <c r="O112" s="61"/>
      <c r="P112" s="61"/>
      <c r="Q112" s="61"/>
      <c r="R112" s="61"/>
      <c r="S112" s="59"/>
      <c r="T112" s="59"/>
      <c r="U112" s="55"/>
      <c r="V112" s="55"/>
      <c r="W112" s="55"/>
    </row>
    <row r="113" spans="1:23">
      <c r="A113" s="135"/>
      <c r="B113" s="140" t="s">
        <v>282</v>
      </c>
      <c r="C113" s="57">
        <f t="shared" si="58"/>
        <v>14.928000000000001</v>
      </c>
      <c r="D113" s="52"/>
      <c r="E113" s="52"/>
      <c r="F113" s="52">
        <f>F69+F25</f>
        <v>14.928000000000001</v>
      </c>
      <c r="G113" s="52"/>
      <c r="H113" s="57">
        <f t="shared" si="60"/>
        <v>1.5000000000000002E-3</v>
      </c>
      <c r="I113" s="60"/>
      <c r="J113" s="60"/>
      <c r="K113" s="60">
        <f>(K25*6+K69*6)/12</f>
        <v>1.5000000000000002E-3</v>
      </c>
      <c r="L113" s="52"/>
      <c r="M113" s="112">
        <f>C111/H111</f>
        <v>7709.0007204610947</v>
      </c>
      <c r="N113" s="58"/>
      <c r="O113" s="61"/>
      <c r="P113" s="61"/>
      <c r="Q113" s="61"/>
      <c r="R113" s="61"/>
      <c r="S113" s="59"/>
      <c r="T113" s="59"/>
      <c r="U113" s="55"/>
      <c r="V113" s="55"/>
      <c r="W113" s="55"/>
    </row>
    <row r="114" spans="1:23">
      <c r="A114" s="135"/>
      <c r="B114" s="56" t="str">
        <f>B70</f>
        <v>ЗАО "ЭПК"</v>
      </c>
      <c r="C114" s="57">
        <f t="shared" si="58"/>
        <v>48946.407000000007</v>
      </c>
      <c r="D114" s="52">
        <f>D70+D26</f>
        <v>242.52699999999999</v>
      </c>
      <c r="E114" s="52">
        <f>E70+E26</f>
        <v>45113.376000000004</v>
      </c>
      <c r="F114" s="52">
        <f>F70+F26</f>
        <v>3590.5039999999999</v>
      </c>
      <c r="G114" s="52"/>
      <c r="H114" s="57">
        <f t="shared" si="60"/>
        <v>7.1045000000000007</v>
      </c>
      <c r="I114" s="60">
        <f>(I26*6+I70*6)/12</f>
        <v>3.6999999999999998E-2</v>
      </c>
      <c r="J114" s="60">
        <f>(J26*6+J70*6)/12</f>
        <v>6.4170000000000007</v>
      </c>
      <c r="K114" s="60">
        <f>(K26*6+K70*6)/12</f>
        <v>0.65050000000000008</v>
      </c>
      <c r="L114" s="52"/>
      <c r="M114" s="112">
        <f>E114/J114</f>
        <v>7030.2907900888267</v>
      </c>
      <c r="N114" s="58"/>
      <c r="O114" s="61"/>
      <c r="P114" s="61"/>
      <c r="Q114" s="61"/>
      <c r="R114" s="61"/>
      <c r="S114" s="59"/>
      <c r="T114" s="55"/>
      <c r="U114" s="55"/>
      <c r="V114" s="55"/>
      <c r="W114" s="55"/>
    </row>
    <row r="115" spans="1:23" s="24" customFormat="1">
      <c r="A115" s="135" t="s">
        <v>92</v>
      </c>
      <c r="B115" s="139" t="s">
        <v>93</v>
      </c>
      <c r="C115" s="57">
        <f>D115+E115+F115</f>
        <v>455591.74400000006</v>
      </c>
      <c r="D115" s="57">
        <f>SUM(D116:D125)</f>
        <v>165351.51000000004</v>
      </c>
      <c r="E115" s="57">
        <f t="shared" ref="E115:F115" si="61">SUM(E116:E125)</f>
        <v>259143.76799999998</v>
      </c>
      <c r="F115" s="57">
        <f t="shared" si="61"/>
        <v>31096.466</v>
      </c>
      <c r="G115" s="57"/>
      <c r="H115" s="57">
        <f>I115+J115+K115</f>
        <v>57.576499999999996</v>
      </c>
      <c r="I115" s="57">
        <f>SUM(I116:I125)</f>
        <v>21.598999999999997</v>
      </c>
      <c r="J115" s="57">
        <f>SUM(J116:J125)</f>
        <v>31.789499999999997</v>
      </c>
      <c r="K115" s="57">
        <f>SUM(K116:K125)</f>
        <v>4.1880000000000006</v>
      </c>
      <c r="L115" s="57"/>
      <c r="M115" s="112">
        <f t="shared" si="59"/>
        <v>7912.8072043281563</v>
      </c>
      <c r="N115" s="58"/>
      <c r="O115" s="113"/>
      <c r="P115" s="113"/>
      <c r="Q115" s="113"/>
      <c r="R115" s="113"/>
      <c r="S115" s="113"/>
      <c r="T115" s="113"/>
      <c r="U115" s="113"/>
      <c r="V115" s="113"/>
      <c r="W115" s="113"/>
    </row>
    <row r="116" spans="1:23" s="24" customFormat="1">
      <c r="A116" s="135"/>
      <c r="B116" s="140" t="s">
        <v>230</v>
      </c>
      <c r="C116" s="57">
        <f>D116+F116+E116</f>
        <v>45382.351999999999</v>
      </c>
      <c r="D116" s="52">
        <f>D72+D28</f>
        <v>38154.347000000002</v>
      </c>
      <c r="E116" s="52"/>
      <c r="F116" s="52">
        <f>F72+F28</f>
        <v>7228.0050000000001</v>
      </c>
      <c r="G116" s="52"/>
      <c r="H116" s="57">
        <f t="shared" ref="H116:H132" si="62">I116+J116+K116</f>
        <v>5.9279999999999999</v>
      </c>
      <c r="I116" s="60">
        <f>(I28*6+I72*6)/12</f>
        <v>4.968</v>
      </c>
      <c r="J116" s="60"/>
      <c r="K116" s="60">
        <f>(K28*6+K72*6)/12</f>
        <v>0.96</v>
      </c>
      <c r="L116" s="52"/>
      <c r="M116" s="112">
        <f t="shared" si="59"/>
        <v>7655.5924426450738</v>
      </c>
      <c r="N116" s="58"/>
      <c r="O116" s="113"/>
      <c r="P116" s="113"/>
      <c r="Q116" s="113"/>
      <c r="R116" s="113"/>
      <c r="S116" s="113"/>
      <c r="T116" s="113"/>
      <c r="U116" s="113"/>
      <c r="V116" s="113"/>
      <c r="W116" s="113"/>
    </row>
    <row r="117" spans="1:23" ht="14.25" hidden="1" customHeight="1">
      <c r="A117" s="135"/>
      <c r="B117" s="140" t="s">
        <v>233</v>
      </c>
      <c r="C117" s="57">
        <f t="shared" ref="C117" si="63">D117+E117+F117</f>
        <v>0</v>
      </c>
      <c r="D117" s="52">
        <f>D73+D29</f>
        <v>0</v>
      </c>
      <c r="E117" s="52"/>
      <c r="F117" s="52"/>
      <c r="G117" s="52"/>
      <c r="H117" s="57">
        <f>I117+J117+K117</f>
        <v>0</v>
      </c>
      <c r="I117" s="60">
        <f>(I29*6+I73*6)/12</f>
        <v>0</v>
      </c>
      <c r="J117" s="60"/>
      <c r="K117" s="60"/>
      <c r="L117" s="52"/>
      <c r="M117" s="112" t="e">
        <f t="shared" si="59"/>
        <v>#DIV/0!</v>
      </c>
      <c r="N117" s="58"/>
      <c r="O117" s="61"/>
      <c r="P117" s="61"/>
      <c r="Q117" s="61"/>
      <c r="R117" s="61"/>
      <c r="S117" s="59"/>
      <c r="T117" s="59"/>
      <c r="U117" s="59"/>
      <c r="V117" s="59"/>
      <c r="W117" s="55"/>
    </row>
    <row r="118" spans="1:23" ht="14.25" hidden="1" customHeight="1">
      <c r="A118" s="135"/>
      <c r="B118" s="140" t="s">
        <v>274</v>
      </c>
      <c r="C118" s="57">
        <f t="shared" ref="C118:C121" si="64">D118+F118+E118</f>
        <v>0</v>
      </c>
      <c r="D118" s="52">
        <f>D74+D30</f>
        <v>0</v>
      </c>
      <c r="E118" s="52"/>
      <c r="F118" s="52"/>
      <c r="G118" s="52"/>
      <c r="H118" s="57">
        <f t="shared" ref="H118:H125" si="65">I118+J118+K118</f>
        <v>0</v>
      </c>
      <c r="I118" s="60">
        <f>(I30*6+I74*6)/12</f>
        <v>0</v>
      </c>
      <c r="J118" s="52"/>
      <c r="K118" s="52"/>
      <c r="L118" s="52"/>
      <c r="M118" s="112" t="e">
        <f t="shared" si="59"/>
        <v>#DIV/0!</v>
      </c>
      <c r="N118" s="58"/>
      <c r="O118" s="61"/>
      <c r="P118" s="156"/>
      <c r="Q118" s="61"/>
      <c r="R118" s="61"/>
      <c r="S118" s="59"/>
      <c r="T118" s="59"/>
      <c r="U118" s="59"/>
      <c r="V118" s="59"/>
      <c r="W118" s="55"/>
    </row>
    <row r="119" spans="1:23" ht="14.25" customHeight="1">
      <c r="A119" s="135"/>
      <c r="B119" s="140" t="s">
        <v>231</v>
      </c>
      <c r="C119" s="57">
        <f t="shared" si="64"/>
        <v>25943.65</v>
      </c>
      <c r="D119" s="52">
        <f>D75+D31</f>
        <v>25943.65</v>
      </c>
      <c r="E119" s="52"/>
      <c r="F119" s="52"/>
      <c r="G119" s="52"/>
      <c r="H119" s="57">
        <f t="shared" si="65"/>
        <v>3.1824999999999997</v>
      </c>
      <c r="I119" s="60">
        <f>(I31*6+I75*6)/12</f>
        <v>3.1824999999999997</v>
      </c>
      <c r="J119" s="60"/>
      <c r="K119" s="60"/>
      <c r="L119" s="52"/>
      <c r="M119" s="112">
        <f t="shared" si="59"/>
        <v>8151.9717203456412</v>
      </c>
      <c r="N119" s="58"/>
      <c r="O119" s="61"/>
      <c r="P119" s="61"/>
      <c r="Q119" s="61"/>
      <c r="R119" s="61"/>
      <c r="S119" s="59"/>
      <c r="T119" s="59"/>
      <c r="U119" s="59"/>
      <c r="V119" s="59"/>
      <c r="W119" s="55"/>
    </row>
    <row r="120" spans="1:23" ht="14.25" customHeight="1">
      <c r="A120" s="135"/>
      <c r="B120" s="155" t="s">
        <v>254</v>
      </c>
      <c r="C120" s="57">
        <f t="shared" si="64"/>
        <v>324673.34999999998</v>
      </c>
      <c r="D120" s="52">
        <f>D76+D32</f>
        <v>58347.399000000005</v>
      </c>
      <c r="E120" s="52">
        <f>E76+E32</f>
        <v>250544.201</v>
      </c>
      <c r="F120" s="52">
        <f>F76+F32</f>
        <v>15781.75</v>
      </c>
      <c r="G120" s="52"/>
      <c r="H120" s="57">
        <f>I120+J120+K120</f>
        <v>40.335499999999996</v>
      </c>
      <c r="I120" s="60">
        <f>(I32*6+I76*6)/12</f>
        <v>7.5494999999999992</v>
      </c>
      <c r="J120" s="60">
        <f>(J32*6+J76*6)/12</f>
        <v>30.7135</v>
      </c>
      <c r="K120" s="60">
        <f>(K32*6+K76*6)/12</f>
        <v>2.0725000000000002</v>
      </c>
      <c r="L120" s="52"/>
      <c r="M120" s="112">
        <f t="shared" si="59"/>
        <v>8049.3200778470582</v>
      </c>
      <c r="N120" s="58"/>
      <c r="O120" s="61"/>
      <c r="P120" s="61"/>
      <c r="Q120" s="61"/>
      <c r="R120" s="61"/>
      <c r="S120" s="59"/>
      <c r="T120" s="59"/>
      <c r="U120" s="59"/>
      <c r="V120" s="59"/>
      <c r="W120" s="55"/>
    </row>
    <row r="121" spans="1:23" ht="14.25" hidden="1" customHeight="1">
      <c r="A121" s="135"/>
      <c r="B121" s="155" t="s">
        <v>233</v>
      </c>
      <c r="C121" s="57">
        <f t="shared" si="64"/>
        <v>0</v>
      </c>
      <c r="D121" s="52"/>
      <c r="E121" s="52">
        <f>E77+E33</f>
        <v>0</v>
      </c>
      <c r="F121" s="52"/>
      <c r="G121" s="52"/>
      <c r="H121" s="57">
        <f>I121+J121+K121</f>
        <v>0</v>
      </c>
      <c r="I121" s="52"/>
      <c r="J121" s="60">
        <f>(J33*6+J77*6)/12</f>
        <v>0</v>
      </c>
      <c r="K121" s="52"/>
      <c r="L121" s="52"/>
      <c r="M121" s="112" t="e">
        <f t="shared" si="59"/>
        <v>#DIV/0!</v>
      </c>
      <c r="N121" s="58"/>
      <c r="O121" s="61"/>
      <c r="P121" s="61"/>
      <c r="Q121" s="61"/>
      <c r="R121" s="61"/>
      <c r="S121" s="59"/>
      <c r="T121" s="59"/>
      <c r="U121" s="59"/>
      <c r="V121" s="59"/>
      <c r="W121" s="55"/>
    </row>
    <row r="122" spans="1:23" ht="14.25" customHeight="1">
      <c r="A122" s="135"/>
      <c r="B122" s="155" t="s">
        <v>268</v>
      </c>
      <c r="C122" s="57">
        <f t="shared" ref="C122" si="66">D122+F122+E122</f>
        <v>21447.578000000001</v>
      </c>
      <c r="D122" s="52">
        <f>D78+D34</f>
        <v>21447.578000000001</v>
      </c>
      <c r="E122" s="52"/>
      <c r="F122" s="52"/>
      <c r="G122" s="52"/>
      <c r="H122" s="57">
        <f t="shared" ref="H122:H123" si="67">I122+J122+K122</f>
        <v>2.7795000000000001</v>
      </c>
      <c r="I122" s="60">
        <f>(I34*6+I78*6)/12</f>
        <v>2.7795000000000001</v>
      </c>
      <c r="J122" s="60"/>
      <c r="K122" s="60"/>
      <c r="L122" s="52"/>
      <c r="M122" s="112">
        <f t="shared" ref="M122" si="68">C122/H122</f>
        <v>7716.3439467530134</v>
      </c>
      <c r="N122" s="58"/>
      <c r="O122" s="61"/>
      <c r="P122" s="61"/>
      <c r="Q122" s="61"/>
      <c r="R122" s="61"/>
      <c r="S122" s="59"/>
      <c r="T122" s="59"/>
      <c r="U122" s="59"/>
      <c r="V122" s="59"/>
      <c r="W122" s="55"/>
    </row>
    <row r="123" spans="1:23">
      <c r="A123" s="135"/>
      <c r="B123" s="56" t="str">
        <f>B79</f>
        <v>АО "ЭПК"</v>
      </c>
      <c r="C123" s="57">
        <f t="shared" ref="C123" si="69">D123+E123+F123</f>
        <v>8091.2470000000003</v>
      </c>
      <c r="D123" s="52">
        <f>D79+D35</f>
        <v>382.14</v>
      </c>
      <c r="E123" s="52">
        <f>E79+E35</f>
        <v>7709.107</v>
      </c>
      <c r="F123" s="52"/>
      <c r="G123" s="52"/>
      <c r="H123" s="57">
        <f t="shared" si="67"/>
        <v>1.0249999999999999</v>
      </c>
      <c r="I123" s="60">
        <f>(I35*6+I79*6)/12</f>
        <v>5.050000000000001E-2</v>
      </c>
      <c r="J123" s="60">
        <f>(J35*6+J79*6)/12</f>
        <v>0.97449999999999992</v>
      </c>
      <c r="K123" s="60"/>
      <c r="L123" s="52"/>
      <c r="M123" s="112">
        <f>E123/J123</f>
        <v>7910.8332478193952</v>
      </c>
      <c r="N123" s="58"/>
      <c r="O123" s="61"/>
      <c r="P123" s="61"/>
      <c r="Q123" s="61"/>
      <c r="R123" s="61"/>
      <c r="S123" s="59"/>
      <c r="T123" s="55"/>
      <c r="U123" s="55"/>
      <c r="V123" s="55"/>
      <c r="W123" s="55"/>
    </row>
    <row r="124" spans="1:23">
      <c r="A124" s="135"/>
      <c r="B124" s="56" t="s">
        <v>281</v>
      </c>
      <c r="C124" s="57">
        <f t="shared" ref="C124" si="70">D124+E124+F124</f>
        <v>281.58799999999997</v>
      </c>
      <c r="D124" s="52">
        <f>D80+D36</f>
        <v>40.027000000000001</v>
      </c>
      <c r="E124" s="52">
        <f>E80+E36</f>
        <v>64.674999999999997</v>
      </c>
      <c r="F124" s="52">
        <f>F80+F36</f>
        <v>176.886</v>
      </c>
      <c r="G124" s="52"/>
      <c r="H124" s="57">
        <f t="shared" ref="H124" si="71">I124+J124+K124</f>
        <v>3.4000000000000002E-2</v>
      </c>
      <c r="I124" s="60">
        <f>(I36*6+I80*6)/12</f>
        <v>5.0000000000000001E-3</v>
      </c>
      <c r="J124" s="60">
        <f>(J36*6+J80*6)/12</f>
        <v>9.4999999999999998E-3</v>
      </c>
      <c r="K124" s="60">
        <f>(K36*6+K80*6)/12</f>
        <v>1.95E-2</v>
      </c>
      <c r="L124" s="52"/>
      <c r="M124" s="112"/>
      <c r="N124" s="58"/>
      <c r="O124" s="61"/>
      <c r="P124" s="61"/>
      <c r="Q124" s="61"/>
      <c r="R124" s="61"/>
      <c r="S124" s="59"/>
      <c r="T124" s="55"/>
      <c r="U124" s="55"/>
      <c r="V124" s="55"/>
      <c r="W124" s="55"/>
    </row>
    <row r="125" spans="1:23" ht="14.25" customHeight="1">
      <c r="A125" s="135"/>
      <c r="B125" s="140" t="s">
        <v>255</v>
      </c>
      <c r="C125" s="57">
        <f>D125+F125+E125</f>
        <v>29771.978999999999</v>
      </c>
      <c r="D125" s="52">
        <f>D81+D37</f>
        <v>21036.368999999999</v>
      </c>
      <c r="E125" s="52">
        <f>E81+E37</f>
        <v>825.78499999999997</v>
      </c>
      <c r="F125" s="52">
        <f>F81+F37</f>
        <v>7909.8250000000007</v>
      </c>
      <c r="G125" s="52"/>
      <c r="H125" s="57">
        <f t="shared" si="65"/>
        <v>4.2919999999999998</v>
      </c>
      <c r="I125" s="60">
        <f>(I37*6+I81*6)/12</f>
        <v>3.0640000000000001</v>
      </c>
      <c r="J125" s="60">
        <f>(J37*6+J81*6)/12</f>
        <v>9.2000000000000012E-2</v>
      </c>
      <c r="K125" s="60">
        <f>(K37*6+K81*6)/12</f>
        <v>1.1360000000000001</v>
      </c>
      <c r="L125" s="52"/>
      <c r="M125" s="112">
        <f t="shared" si="59"/>
        <v>6936.6213886300093</v>
      </c>
      <c r="N125" s="58"/>
      <c r="O125" s="61"/>
      <c r="P125" s="61"/>
      <c r="Q125" s="61"/>
      <c r="R125" s="61"/>
      <c r="S125" s="59"/>
      <c r="T125" s="59"/>
      <c r="U125" s="59"/>
      <c r="V125" s="59"/>
      <c r="W125" s="55"/>
    </row>
    <row r="126" spans="1:23">
      <c r="A126" s="141" t="s">
        <v>94</v>
      </c>
      <c r="B126" s="142" t="s">
        <v>95</v>
      </c>
      <c r="C126" s="57">
        <f>D126+E126+F126</f>
        <v>84006.35100000001</v>
      </c>
      <c r="D126" s="57">
        <f>SUM(D127:D131)</f>
        <v>15008.846</v>
      </c>
      <c r="E126" s="57">
        <f>SUM(E127:E131)</f>
        <v>68454.985000000001</v>
      </c>
      <c r="F126" s="57">
        <f t="shared" ref="F126" si="72">SUM(F127:F131)</f>
        <v>542.52</v>
      </c>
      <c r="G126" s="57"/>
      <c r="H126" s="57">
        <f>I126+J126+K126</f>
        <v>11.595000000000001</v>
      </c>
      <c r="I126" s="57">
        <f>SUM(I127:I131)</f>
        <v>2.1165000000000003</v>
      </c>
      <c r="J126" s="57">
        <f>SUM(J127:J131)</f>
        <v>9.41</v>
      </c>
      <c r="K126" s="57">
        <f>SUM(K127:K131)</f>
        <v>6.8499999999999991E-2</v>
      </c>
      <c r="L126" s="57"/>
      <c r="M126" s="112">
        <f t="shared" si="59"/>
        <v>7245.0496765847356</v>
      </c>
      <c r="N126" s="58"/>
      <c r="O126" s="113"/>
      <c r="P126" s="113"/>
      <c r="Q126" s="113"/>
      <c r="R126" s="113"/>
      <c r="S126" s="113"/>
      <c r="T126" s="113"/>
      <c r="U126" s="113"/>
      <c r="V126" s="113"/>
      <c r="W126" s="113"/>
    </row>
    <row r="127" spans="1:23">
      <c r="A127" s="135"/>
      <c r="B127" s="140" t="s">
        <v>275</v>
      </c>
      <c r="C127" s="57">
        <f>D127+E127+F127</f>
        <v>125.86699999999999</v>
      </c>
      <c r="D127" s="52"/>
      <c r="E127" s="52"/>
      <c r="F127" s="52">
        <f>F83+F39</f>
        <v>125.86699999999999</v>
      </c>
      <c r="G127" s="52"/>
      <c r="H127" s="57">
        <f t="shared" si="62"/>
        <v>1.6E-2</v>
      </c>
      <c r="I127" s="52"/>
      <c r="J127" s="52"/>
      <c r="K127" s="60">
        <f>(K39*6+K83*6)/12</f>
        <v>1.6E-2</v>
      </c>
      <c r="L127" s="52"/>
      <c r="M127" s="112">
        <f t="shared" si="59"/>
        <v>7866.6874999999991</v>
      </c>
      <c r="N127" s="58"/>
      <c r="O127" s="53"/>
      <c r="P127" s="53"/>
      <c r="Q127" s="53"/>
      <c r="R127" s="53"/>
      <c r="S127" s="59"/>
      <c r="T127" s="55"/>
      <c r="U127" s="55"/>
      <c r="V127" s="55"/>
      <c r="W127" s="55"/>
    </row>
    <row r="128" spans="1:23">
      <c r="A128" s="135"/>
      <c r="B128" s="140" t="s">
        <v>283</v>
      </c>
      <c r="C128" s="57">
        <f>D128+E128+F128</f>
        <v>326.75200000000001</v>
      </c>
      <c r="D128" s="52"/>
      <c r="E128" s="52">
        <f>E84+E40</f>
        <v>45.293000000000006</v>
      </c>
      <c r="F128" s="52">
        <f>F84+F40</f>
        <v>281.459</v>
      </c>
      <c r="G128" s="52"/>
      <c r="H128" s="57">
        <f t="shared" ref="H128" si="73">I128+J128+K128</f>
        <v>4.1499999999999995E-2</v>
      </c>
      <c r="I128" s="52"/>
      <c r="J128" s="60">
        <v>6.0000000000000001E-3</v>
      </c>
      <c r="K128" s="60">
        <f>(K40*6+K84*6)/12</f>
        <v>3.5499999999999997E-2</v>
      </c>
      <c r="L128" s="52"/>
      <c r="M128" s="112">
        <f t="shared" ref="M128" si="74">C128/H128</f>
        <v>7873.5421686746995</v>
      </c>
      <c r="N128" s="58"/>
      <c r="O128" s="53"/>
      <c r="P128" s="53"/>
      <c r="Q128" s="53"/>
      <c r="R128" s="53"/>
      <c r="S128" s="59"/>
      <c r="T128" s="55"/>
      <c r="U128" s="55"/>
      <c r="V128" s="55"/>
      <c r="W128" s="55"/>
    </row>
    <row r="129" spans="1:23">
      <c r="A129" s="135"/>
      <c r="B129" s="140" t="s">
        <v>252</v>
      </c>
      <c r="C129" s="57">
        <f t="shared" ref="C129:C131" si="75">D129+E129+F129</f>
        <v>61358.859000000004</v>
      </c>
      <c r="D129" s="52"/>
      <c r="E129" s="52">
        <f>E85+E41</f>
        <v>61223.665000000001</v>
      </c>
      <c r="F129" s="52">
        <f>F85+F41</f>
        <v>135.19399999999999</v>
      </c>
      <c r="G129" s="52"/>
      <c r="H129" s="57">
        <f t="shared" si="62"/>
        <v>8.4409999999999989</v>
      </c>
      <c r="I129" s="52"/>
      <c r="J129" s="60">
        <v>8.4239999999999995</v>
      </c>
      <c r="K129" s="60">
        <f>(K41*6+K85*6)/12</f>
        <v>1.6999999999999998E-2</v>
      </c>
      <c r="L129" s="52"/>
      <c r="M129" s="112">
        <f t="shared" si="59"/>
        <v>7269.1457173320714</v>
      </c>
      <c r="N129" s="58"/>
      <c r="O129" s="53"/>
      <c r="P129" s="53"/>
      <c r="Q129" s="53"/>
      <c r="R129" s="53"/>
      <c r="S129" s="59"/>
      <c r="T129" s="55"/>
      <c r="U129" s="55"/>
      <c r="V129" s="55"/>
      <c r="W129" s="55"/>
    </row>
    <row r="130" spans="1:23">
      <c r="A130" s="135"/>
      <c r="B130" s="140" t="s">
        <v>253</v>
      </c>
      <c r="C130" s="57">
        <f t="shared" ref="C130" si="76">D130+E130+F130</f>
        <v>15008.846</v>
      </c>
      <c r="D130" s="52">
        <f>D86+D42</f>
        <v>15008.846</v>
      </c>
      <c r="E130" s="52"/>
      <c r="F130" s="52"/>
      <c r="G130" s="52"/>
      <c r="H130" s="57">
        <f t="shared" ref="H130" si="77">I130+J130+K130</f>
        <v>2.1165000000000003</v>
      </c>
      <c r="I130" s="60">
        <f>(I42*6+I86*6)/12-0.001</f>
        <v>2.1165000000000003</v>
      </c>
      <c r="J130" s="60"/>
      <c r="K130" s="52"/>
      <c r="L130" s="52"/>
      <c r="M130" s="112">
        <f t="shared" ref="M130" si="78">C130/H130</f>
        <v>7091.3517599810993</v>
      </c>
      <c r="N130" s="58"/>
      <c r="O130" s="53"/>
      <c r="P130" s="53"/>
      <c r="Q130" s="53"/>
      <c r="R130" s="53"/>
      <c r="S130" s="59"/>
      <c r="T130" s="55"/>
      <c r="U130" s="55"/>
      <c r="V130" s="55"/>
      <c r="W130" s="55"/>
    </row>
    <row r="131" spans="1:23">
      <c r="A131" s="135"/>
      <c r="B131" s="140" t="s">
        <v>234</v>
      </c>
      <c r="C131" s="57">
        <f t="shared" si="75"/>
        <v>7186.027</v>
      </c>
      <c r="D131" s="52"/>
      <c r="E131" s="52">
        <f>E87+E43</f>
        <v>7186.027</v>
      </c>
      <c r="F131" s="52"/>
      <c r="G131" s="52"/>
      <c r="H131" s="57">
        <f t="shared" si="62"/>
        <v>0.98</v>
      </c>
      <c r="I131" s="52"/>
      <c r="J131" s="60">
        <v>0.98</v>
      </c>
      <c r="K131" s="52"/>
      <c r="L131" s="52"/>
      <c r="M131" s="112">
        <f t="shared" si="59"/>
        <v>7332.6806122448979</v>
      </c>
      <c r="N131" s="58"/>
      <c r="O131" s="53"/>
      <c r="P131" s="53"/>
      <c r="Q131" s="53"/>
      <c r="R131" s="53"/>
      <c r="S131" s="59"/>
      <c r="T131" s="55"/>
      <c r="U131" s="55"/>
      <c r="V131" s="55"/>
      <c r="W131" s="55"/>
    </row>
    <row r="132" spans="1:23" hidden="1">
      <c r="A132" s="135"/>
      <c r="B132" s="140">
        <f>B89</f>
        <v>0</v>
      </c>
      <c r="C132" s="57">
        <f>D132+E132+F132</f>
        <v>0</v>
      </c>
      <c r="D132" s="52"/>
      <c r="E132" s="52"/>
      <c r="F132" s="52"/>
      <c r="G132" s="52"/>
      <c r="H132" s="57">
        <f t="shared" si="62"/>
        <v>0</v>
      </c>
      <c r="I132" s="52"/>
      <c r="J132" s="52"/>
      <c r="K132" s="52"/>
      <c r="L132" s="52"/>
      <c r="M132" s="112" t="e">
        <f t="shared" si="59"/>
        <v>#DIV/0!</v>
      </c>
      <c r="N132" s="58"/>
      <c r="O132" s="53"/>
      <c r="P132" s="53"/>
      <c r="Q132" s="53"/>
      <c r="R132" s="53"/>
      <c r="S132" s="59"/>
      <c r="T132" s="55"/>
      <c r="U132" s="59"/>
      <c r="V132" s="55"/>
      <c r="W132" s="55"/>
    </row>
    <row r="133" spans="1:23" hidden="1">
      <c r="A133" s="135"/>
      <c r="B133" s="140"/>
      <c r="C133" s="57"/>
      <c r="D133" s="52"/>
      <c r="E133" s="52"/>
      <c r="F133" s="52"/>
      <c r="G133" s="52"/>
      <c r="H133" s="57"/>
      <c r="I133" s="52"/>
      <c r="J133" s="52"/>
      <c r="K133" s="52"/>
      <c r="L133" s="52"/>
      <c r="M133" s="112"/>
      <c r="N133" s="58"/>
      <c r="O133" s="53"/>
      <c r="P133" s="53"/>
      <c r="Q133" s="53"/>
      <c r="R133" s="53"/>
      <c r="S133" s="59"/>
      <c r="T133" s="55"/>
      <c r="U133" s="59"/>
      <c r="V133" s="55"/>
      <c r="W133" s="55"/>
    </row>
    <row r="134" spans="1:23" s="24" customFormat="1">
      <c r="A134" s="141" t="s">
        <v>96</v>
      </c>
      <c r="B134" s="137" t="s">
        <v>97</v>
      </c>
      <c r="C134" s="57">
        <f t="shared" ref="C134:E134" si="79">C126+C104+C96</f>
        <v>621127.88100000005</v>
      </c>
      <c r="D134" s="57">
        <f t="shared" si="79"/>
        <v>197667.15700000004</v>
      </c>
      <c r="E134" s="57">
        <f t="shared" si="79"/>
        <v>376273.88499999995</v>
      </c>
      <c r="F134" s="57">
        <f t="shared" ref="F134:L134" si="80">F126+F104+F96</f>
        <v>47118.341999999997</v>
      </c>
      <c r="G134" s="57">
        <f t="shared" si="80"/>
        <v>68.497</v>
      </c>
      <c r="H134" s="57">
        <f t="shared" si="80"/>
        <v>80.707499999999996</v>
      </c>
      <c r="I134" s="57">
        <f>I126+I104+I96+0.001</f>
        <v>25.931999999999999</v>
      </c>
      <c r="J134" s="57">
        <f t="shared" si="80"/>
        <v>48.03</v>
      </c>
      <c r="K134" s="57">
        <f t="shared" si="80"/>
        <v>6.7355000000000018</v>
      </c>
      <c r="L134" s="57">
        <f t="shared" si="80"/>
        <v>0.01</v>
      </c>
      <c r="M134" s="112">
        <f t="shared" si="59"/>
        <v>7696.0366880401461</v>
      </c>
      <c r="N134" s="58"/>
      <c r="O134" s="113"/>
      <c r="P134" s="113"/>
      <c r="Q134" s="113"/>
      <c r="R134" s="113"/>
      <c r="S134" s="113"/>
      <c r="T134" s="113"/>
      <c r="U134" s="113"/>
      <c r="V134" s="113"/>
      <c r="W134" s="113"/>
    </row>
  </sheetData>
  <mergeCells count="26">
    <mergeCell ref="S48:W48"/>
    <mergeCell ref="A95:W95"/>
    <mergeCell ref="A51:W51"/>
    <mergeCell ref="A92:A93"/>
    <mergeCell ref="B92:B93"/>
    <mergeCell ref="C92:G92"/>
    <mergeCell ref="H92:L92"/>
    <mergeCell ref="M92:M93"/>
    <mergeCell ref="N92:R92"/>
    <mergeCell ref="S92:W92"/>
    <mergeCell ref="A8:W8"/>
    <mergeCell ref="A48:A49"/>
    <mergeCell ref="B48:B49"/>
    <mergeCell ref="C48:G48"/>
    <mergeCell ref="A3:H3"/>
    <mergeCell ref="I3:W3"/>
    <mergeCell ref="A5:A6"/>
    <mergeCell ref="B5:B6"/>
    <mergeCell ref="C5:G5"/>
    <mergeCell ref="H5:L5"/>
    <mergeCell ref="M5:M6"/>
    <mergeCell ref="N5:R5"/>
    <mergeCell ref="S5:W5"/>
    <mergeCell ref="H48:L48"/>
    <mergeCell ref="M48:M49"/>
    <mergeCell ref="N48:R48"/>
  </mergeCells>
  <printOptions horizontalCentered="1"/>
  <pageMargins left="0.59055118110236227" right="0" top="0.19685039370078741" bottom="0.19685039370078741" header="0" footer="0"/>
  <pageSetup paperSize="9" scale="70" orientation="landscape" r:id="rId1"/>
  <headerFooter alignWithMargins="0"/>
  <rowBreaks count="2" manualBreakCount="2">
    <brk id="47" max="16383" man="1"/>
    <brk id="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3"/>
  <dimension ref="A1:N172"/>
  <sheetViews>
    <sheetView tabSelected="1" view="pageBreakPreview" zoomScale="75" zoomScaleNormal="75" zoomScaleSheetLayoutView="75" workbookViewId="0">
      <selection activeCell="Q25" sqref="Q25"/>
    </sheetView>
  </sheetViews>
  <sheetFormatPr defaultColWidth="9.140625" defaultRowHeight="15.75"/>
  <cols>
    <col min="1" max="1" width="9.140625" style="102"/>
    <col min="2" max="2" width="67.5703125" style="103" customWidth="1"/>
    <col min="3" max="3" width="17.42578125" style="104" customWidth="1"/>
    <col min="4" max="4" width="13.7109375" style="104" customWidth="1"/>
    <col min="5" max="5" width="13.85546875" style="1" customWidth="1"/>
    <col min="6" max="6" width="17.7109375" style="1" customWidth="1"/>
    <col min="7" max="7" width="17.42578125" style="104" customWidth="1"/>
    <col min="8" max="8" width="13.5703125" style="104" customWidth="1"/>
    <col min="9" max="9" width="13.28515625" style="1" customWidth="1"/>
    <col min="10" max="10" width="17.7109375" style="1" customWidth="1"/>
    <col min="11" max="11" width="17.42578125" style="104" customWidth="1"/>
    <col min="12" max="12" width="13.85546875" style="104" customWidth="1"/>
    <col min="13" max="13" width="12.140625" style="1" customWidth="1"/>
    <col min="14" max="14" width="19" style="1" customWidth="1"/>
    <col min="15" max="16384" width="9.140625" style="1"/>
  </cols>
  <sheetData>
    <row r="1" spans="1:14" s="65" customFormat="1">
      <c r="A1" s="62" t="s">
        <v>98</v>
      </c>
      <c r="B1" s="63"/>
      <c r="C1" s="64"/>
      <c r="D1" s="64"/>
      <c r="G1" s="64"/>
      <c r="H1" s="64"/>
      <c r="K1" s="64"/>
      <c r="L1" s="64"/>
      <c r="N1" s="65" t="s">
        <v>99</v>
      </c>
    </row>
    <row r="2" spans="1:14" s="65" customFormat="1" ht="36.75" customHeight="1">
      <c r="A2" s="221" t="s">
        <v>301</v>
      </c>
      <c r="B2" s="221"/>
      <c r="C2" s="222"/>
      <c r="D2" s="222"/>
      <c r="E2" s="222"/>
      <c r="F2" s="222"/>
    </row>
    <row r="3" spans="1:14" s="65" customFormat="1" ht="18.75" customHeight="1">
      <c r="A3" s="211" t="str">
        <f>'П1.6'!I3</f>
        <v>АО "КузбассЭлектро"</v>
      </c>
      <c r="B3" s="211"/>
      <c r="C3" s="211"/>
      <c r="D3" s="211"/>
      <c r="E3" s="211"/>
      <c r="F3" s="211"/>
    </row>
    <row r="4" spans="1:14" s="65" customFormat="1" ht="16.5" thickBot="1">
      <c r="B4" s="63"/>
      <c r="C4" s="64"/>
      <c r="D4" s="64"/>
      <c r="G4" s="64"/>
      <c r="H4" s="64"/>
      <c r="K4" s="64"/>
      <c r="L4" s="64"/>
    </row>
    <row r="5" spans="1:14" ht="27" customHeight="1">
      <c r="A5" s="223" t="s">
        <v>100</v>
      </c>
      <c r="B5" s="225" t="s">
        <v>12</v>
      </c>
      <c r="C5" s="227" t="str">
        <f>'П1.6'!A8</f>
        <v>Факт 1 полугодие 2024г.</v>
      </c>
      <c r="D5" s="218"/>
      <c r="E5" s="219"/>
      <c r="F5" s="220"/>
      <c r="G5" s="218" t="str">
        <f>'П1.5'!I4</f>
        <v>Факт 2 полугодие 2024г.</v>
      </c>
      <c r="H5" s="218"/>
      <c r="I5" s="219"/>
      <c r="J5" s="220"/>
      <c r="K5" s="218" t="str">
        <f>'П1.5'!N4</f>
        <v>ФАКТ 2024 год</v>
      </c>
      <c r="L5" s="218"/>
      <c r="M5" s="219"/>
      <c r="N5" s="220"/>
    </row>
    <row r="6" spans="1:14" ht="48" thickBot="1">
      <c r="A6" s="224"/>
      <c r="B6" s="226"/>
      <c r="C6" s="66" t="s">
        <v>101</v>
      </c>
      <c r="D6" s="67" t="s">
        <v>256</v>
      </c>
      <c r="E6" s="67" t="s">
        <v>257</v>
      </c>
      <c r="F6" s="68" t="s">
        <v>102</v>
      </c>
      <c r="G6" s="69" t="s">
        <v>101</v>
      </c>
      <c r="H6" s="67" t="s">
        <v>256</v>
      </c>
      <c r="I6" s="67" t="s">
        <v>257</v>
      </c>
      <c r="J6" s="68" t="s">
        <v>102</v>
      </c>
      <c r="K6" s="69" t="s">
        <v>101</v>
      </c>
      <c r="L6" s="67" t="s">
        <v>256</v>
      </c>
      <c r="M6" s="67" t="s">
        <v>257</v>
      </c>
      <c r="N6" s="68" t="s">
        <v>102</v>
      </c>
    </row>
    <row r="7" spans="1:14" ht="18" customHeight="1">
      <c r="A7" s="143">
        <v>1</v>
      </c>
      <c r="B7" s="144" t="s">
        <v>103</v>
      </c>
      <c r="C7" s="114">
        <f>C10</f>
        <v>321354.859</v>
      </c>
      <c r="D7" s="115"/>
      <c r="E7" s="115">
        <f>E10</f>
        <v>83.907000000000011</v>
      </c>
      <c r="F7" s="184">
        <v>744272</v>
      </c>
      <c r="G7" s="114">
        <f>G10</f>
        <v>313696.35400000005</v>
      </c>
      <c r="H7" s="115"/>
      <c r="I7" s="115">
        <f>I10</f>
        <v>81.197999999999993</v>
      </c>
      <c r="J7" s="184">
        <f>F7</f>
        <v>744272</v>
      </c>
      <c r="K7" s="114">
        <f>C7+G7</f>
        <v>635051.21299999999</v>
      </c>
      <c r="L7" s="115"/>
      <c r="M7" s="115">
        <f>M10</f>
        <v>82.552999999999997</v>
      </c>
      <c r="N7" s="184">
        <f>J7</f>
        <v>744272</v>
      </c>
    </row>
    <row r="8" spans="1:14" ht="17.25" customHeight="1">
      <c r="A8" s="77"/>
      <c r="B8" s="78" t="s">
        <v>104</v>
      </c>
      <c r="C8" s="79"/>
      <c r="D8" s="82"/>
      <c r="E8" s="82"/>
      <c r="F8" s="70"/>
      <c r="G8" s="79"/>
      <c r="H8" s="82"/>
      <c r="I8" s="82"/>
      <c r="J8" s="70"/>
      <c r="K8" s="79"/>
      <c r="L8" s="82"/>
      <c r="M8" s="82"/>
      <c r="N8" s="70"/>
    </row>
    <row r="9" spans="1:14" s="71" customFormat="1" ht="18" customHeight="1">
      <c r="A9" s="72" t="s">
        <v>25</v>
      </c>
      <c r="B9" s="73" t="s">
        <v>105</v>
      </c>
      <c r="C9" s="116"/>
      <c r="D9" s="117"/>
      <c r="E9" s="117"/>
      <c r="F9" s="70"/>
      <c r="G9" s="116"/>
      <c r="H9" s="117"/>
      <c r="I9" s="117"/>
      <c r="J9" s="70"/>
      <c r="K9" s="116"/>
      <c r="L9" s="117"/>
      <c r="M9" s="117"/>
      <c r="N9" s="70"/>
    </row>
    <row r="10" spans="1:14" s="71" customFormat="1" ht="18" customHeight="1">
      <c r="A10" s="72" t="s">
        <v>26</v>
      </c>
      <c r="B10" s="73" t="s">
        <v>106</v>
      </c>
      <c r="C10" s="116">
        <f>'П1.4'!D7</f>
        <v>321354.859</v>
      </c>
      <c r="D10" s="117"/>
      <c r="E10" s="117">
        <f>'П1.5'!D7</f>
        <v>83.907000000000011</v>
      </c>
      <c r="F10" s="70"/>
      <c r="G10" s="116">
        <f>'П1.4'!I7</f>
        <v>313696.35400000005</v>
      </c>
      <c r="H10" s="117"/>
      <c r="I10" s="117">
        <f>'П1.5'!I7</f>
        <v>81.197999999999993</v>
      </c>
      <c r="J10" s="70"/>
      <c r="K10" s="114">
        <f>C10+G10</f>
        <v>635051.21299999999</v>
      </c>
      <c r="L10" s="115"/>
      <c r="M10" s="117">
        <f>'П1.5'!N7</f>
        <v>82.552999999999997</v>
      </c>
      <c r="N10" s="70"/>
    </row>
    <row r="11" spans="1:14" s="46" customFormat="1" ht="18" customHeight="1">
      <c r="A11" s="72"/>
      <c r="B11" s="73" t="s">
        <v>107</v>
      </c>
      <c r="C11" s="74"/>
      <c r="D11" s="76"/>
      <c r="E11" s="76"/>
      <c r="F11" s="70"/>
      <c r="G11" s="74"/>
      <c r="H11" s="76"/>
      <c r="I11" s="76"/>
      <c r="J11" s="70"/>
      <c r="K11" s="74"/>
      <c r="L11" s="76"/>
      <c r="M11" s="76"/>
      <c r="N11" s="70"/>
    </row>
    <row r="12" spans="1:14" s="46" customFormat="1" ht="18" customHeight="1">
      <c r="A12" s="72" t="s">
        <v>84</v>
      </c>
      <c r="B12" s="73" t="s">
        <v>280</v>
      </c>
      <c r="C12" s="74">
        <f>'П1.4'!D17</f>
        <v>22647.061000000002</v>
      </c>
      <c r="D12" s="76"/>
      <c r="E12" s="75">
        <v>5.915</v>
      </c>
      <c r="F12" s="70"/>
      <c r="G12" s="74">
        <f>'П1.4'!I17</f>
        <v>20529.151999999998</v>
      </c>
      <c r="H12" s="76"/>
      <c r="I12" s="75">
        <v>5.915</v>
      </c>
      <c r="J12" s="70"/>
      <c r="K12" s="74">
        <f>C12+G12</f>
        <v>43176.213000000003</v>
      </c>
      <c r="L12" s="76"/>
      <c r="M12" s="76">
        <f>(E12+I12)/2</f>
        <v>5.915</v>
      </c>
      <c r="N12" s="70"/>
    </row>
    <row r="13" spans="1:14" s="46" customFormat="1" ht="18" customHeight="1">
      <c r="A13" s="72" t="s">
        <v>85</v>
      </c>
      <c r="B13" s="73" t="s">
        <v>270</v>
      </c>
      <c r="C13" s="74">
        <f>'П1.4'!D18</f>
        <v>262767.016</v>
      </c>
      <c r="D13" s="76"/>
      <c r="E13" s="76">
        <f>E10-E12-E14-E15-E16</f>
        <v>68.529000000000011</v>
      </c>
      <c r="F13" s="70"/>
      <c r="G13" s="74">
        <f>'П1.4'!I18</f>
        <v>257635.39599999998</v>
      </c>
      <c r="H13" s="76"/>
      <c r="I13" s="76">
        <f>I10-I12-I14-I15-I16</f>
        <v>66.057999999999993</v>
      </c>
      <c r="J13" s="70"/>
      <c r="K13" s="74">
        <f>C13+G13</f>
        <v>520402.41200000001</v>
      </c>
      <c r="L13" s="76"/>
      <c r="M13" s="76">
        <f>M10-M12-M14-M15-M16-0.001</f>
        <v>67.293999999999983</v>
      </c>
      <c r="N13" s="70"/>
    </row>
    <row r="14" spans="1:14" s="46" customFormat="1" ht="18" customHeight="1">
      <c r="A14" s="72" t="s">
        <v>110</v>
      </c>
      <c r="B14" s="73" t="s">
        <v>253</v>
      </c>
      <c r="C14" s="74">
        <f>'П1.4'!D19</f>
        <v>35183.61</v>
      </c>
      <c r="D14" s="76"/>
      <c r="E14" s="76">
        <f>'П1.5'!E19</f>
        <v>9.2639999999999993</v>
      </c>
      <c r="F14" s="70"/>
      <c r="G14" s="74">
        <f>'П1.4'!I19</f>
        <v>34895.843999999997</v>
      </c>
      <c r="H14" s="76"/>
      <c r="I14" s="76">
        <f>'П1.5'!J19</f>
        <v>9.0589999999999993</v>
      </c>
      <c r="J14" s="70"/>
      <c r="K14" s="74">
        <f>C14+G14</f>
        <v>70079.453999999998</v>
      </c>
      <c r="L14" s="76"/>
      <c r="M14" s="76">
        <f>(E14+I14)/2</f>
        <v>9.1615000000000002</v>
      </c>
      <c r="N14" s="70"/>
    </row>
    <row r="15" spans="1:14" s="46" customFormat="1" ht="18" customHeight="1">
      <c r="A15" s="72" t="s">
        <v>235</v>
      </c>
      <c r="B15" s="73" t="s">
        <v>258</v>
      </c>
      <c r="C15" s="74">
        <f>'П1.4'!D21</f>
        <v>429.375</v>
      </c>
      <c r="D15" s="76"/>
      <c r="E15" s="76">
        <f>'П1.5'!G21</f>
        <v>0.114</v>
      </c>
      <c r="F15" s="70"/>
      <c r="G15" s="74">
        <f>'П1.4'!I21</f>
        <v>363.23</v>
      </c>
      <c r="H15" s="76"/>
      <c r="I15" s="76">
        <f>'П1.5'!L21</f>
        <v>9.5000000000000001E-2</v>
      </c>
      <c r="J15" s="70"/>
      <c r="K15" s="74">
        <f>C15+G15</f>
        <v>792.60500000000002</v>
      </c>
      <c r="L15" s="76"/>
      <c r="M15" s="76">
        <f>(E15+I15)/2-0.001</f>
        <v>0.10350000000000001</v>
      </c>
      <c r="N15" s="70"/>
    </row>
    <row r="16" spans="1:14" s="46" customFormat="1" ht="18" customHeight="1">
      <c r="A16" s="72" t="s">
        <v>236</v>
      </c>
      <c r="B16" s="73" t="s">
        <v>237</v>
      </c>
      <c r="C16" s="74">
        <f>'П1.4'!D20</f>
        <v>327.79700000000003</v>
      </c>
      <c r="D16" s="76"/>
      <c r="E16" s="76">
        <f>'П1.5'!F20</f>
        <v>8.5000000000000006E-2</v>
      </c>
      <c r="F16" s="70"/>
      <c r="G16" s="74">
        <f>'П1.4'!I20</f>
        <v>272.73200000000003</v>
      </c>
      <c r="H16" s="76"/>
      <c r="I16" s="76">
        <f>'П1.5'!K20</f>
        <v>7.0999999999999994E-2</v>
      </c>
      <c r="J16" s="70"/>
      <c r="K16" s="74">
        <f>C16+G16</f>
        <v>600.529</v>
      </c>
      <c r="L16" s="76"/>
      <c r="M16" s="76">
        <f>(E16+I16)/2</f>
        <v>7.8E-2</v>
      </c>
      <c r="N16" s="70"/>
    </row>
    <row r="17" spans="1:14" s="46" customFormat="1" ht="18" customHeight="1">
      <c r="A17" s="77"/>
      <c r="B17" s="78" t="s">
        <v>111</v>
      </c>
      <c r="C17" s="79"/>
      <c r="D17" s="82"/>
      <c r="E17" s="82"/>
      <c r="F17" s="81"/>
      <c r="G17" s="79"/>
      <c r="H17" s="82"/>
      <c r="I17" s="82"/>
      <c r="J17" s="81"/>
      <c r="K17" s="79"/>
      <c r="L17" s="82"/>
      <c r="M17" s="82"/>
      <c r="N17" s="81"/>
    </row>
    <row r="18" spans="1:14" ht="18" customHeight="1">
      <c r="A18" s="88" t="s">
        <v>23</v>
      </c>
      <c r="B18" s="89" t="s">
        <v>112</v>
      </c>
      <c r="C18" s="116">
        <f>'П1.4'!D22</f>
        <v>6557.8719999999994</v>
      </c>
      <c r="D18" s="117"/>
      <c r="E18" s="117">
        <f>'П1.5'!D22</f>
        <v>1.7150000000000001</v>
      </c>
      <c r="F18" s="83"/>
      <c r="G18" s="116">
        <f>'П1.4'!I22</f>
        <v>6568.4319999999998</v>
      </c>
      <c r="H18" s="117"/>
      <c r="I18" s="117">
        <f>'П1.5'!I22</f>
        <v>1.7009999999999998</v>
      </c>
      <c r="J18" s="83"/>
      <c r="K18" s="114">
        <f>C18+G18</f>
        <v>13126.304</v>
      </c>
      <c r="L18" s="115"/>
      <c r="M18" s="117">
        <f>'П1.5'!N22</f>
        <v>1.708</v>
      </c>
      <c r="N18" s="83"/>
    </row>
    <row r="19" spans="1:14" ht="18" customHeight="1">
      <c r="A19" s="88" t="s">
        <v>94</v>
      </c>
      <c r="B19" s="89" t="s">
        <v>113</v>
      </c>
      <c r="C19" s="116">
        <f>C10-C18</f>
        <v>314796.98700000002</v>
      </c>
      <c r="D19" s="117"/>
      <c r="E19" s="117">
        <f>E10-E18</f>
        <v>82.192000000000007</v>
      </c>
      <c r="F19" s="83"/>
      <c r="G19" s="116">
        <f>G10-G18</f>
        <v>307127.92200000008</v>
      </c>
      <c r="H19" s="117"/>
      <c r="I19" s="117">
        <f>I10-I18</f>
        <v>79.497</v>
      </c>
      <c r="J19" s="83"/>
      <c r="K19" s="114">
        <f>C19+G19</f>
        <v>621924.9090000001</v>
      </c>
      <c r="L19" s="115"/>
      <c r="M19" s="117">
        <f>M10-M18</f>
        <v>80.844999999999999</v>
      </c>
      <c r="N19" s="83"/>
    </row>
    <row r="20" spans="1:14" ht="18" customHeight="1">
      <c r="A20" s="77"/>
      <c r="B20" s="78" t="s">
        <v>114</v>
      </c>
      <c r="C20" s="79"/>
      <c r="D20" s="82"/>
      <c r="E20" s="82"/>
      <c r="F20" s="70"/>
      <c r="G20" s="79"/>
      <c r="H20" s="82"/>
      <c r="I20" s="82"/>
      <c r="J20" s="70"/>
      <c r="K20" s="79"/>
      <c r="L20" s="82"/>
      <c r="M20" s="82"/>
      <c r="N20" s="70"/>
    </row>
    <row r="21" spans="1:14" ht="18" customHeight="1">
      <c r="A21" s="88" t="s">
        <v>115</v>
      </c>
      <c r="B21" s="89" t="s">
        <v>116</v>
      </c>
      <c r="C21" s="116">
        <f>'П1.4'!D33</f>
        <v>271334.73700000002</v>
      </c>
      <c r="D21" s="117"/>
      <c r="E21" s="117">
        <f>'П1.5'!D33</f>
        <v>70.202000000000012</v>
      </c>
      <c r="F21" s="70"/>
      <c r="G21" s="116">
        <f>'П1.4'!I33</f>
        <v>265786.79300000001</v>
      </c>
      <c r="H21" s="117"/>
      <c r="I21" s="117">
        <f>'П1.5'!I33</f>
        <v>68.021000000000001</v>
      </c>
      <c r="J21" s="70"/>
      <c r="K21" s="114">
        <f>C21+G21</f>
        <v>537121.53</v>
      </c>
      <c r="L21" s="115"/>
      <c r="M21" s="117">
        <f>'П1.5'!N33</f>
        <v>69.112000000000009</v>
      </c>
      <c r="N21" s="70"/>
    </row>
    <row r="22" spans="1:14" ht="18" customHeight="1">
      <c r="A22" s="88" t="s">
        <v>117</v>
      </c>
      <c r="B22" s="89" t="s">
        <v>118</v>
      </c>
      <c r="C22" s="116">
        <f>'П1.4'!D29+'П1.4'!D35</f>
        <v>43462.25</v>
      </c>
      <c r="D22" s="117"/>
      <c r="E22" s="117">
        <f>'П1.5'!D36+'П1.5'!D29</f>
        <v>11.989999999999998</v>
      </c>
      <c r="F22" s="70"/>
      <c r="G22" s="116">
        <f>'П1.4'!I29+'П1.4'!I35</f>
        <v>41341.128999999994</v>
      </c>
      <c r="H22" s="117"/>
      <c r="I22" s="117">
        <f>'П1.5'!I36+'П1.5'!I29</f>
        <v>11.475999999999999</v>
      </c>
      <c r="J22" s="70"/>
      <c r="K22" s="114">
        <f>C22+G22</f>
        <v>84803.378999999986</v>
      </c>
      <c r="L22" s="115"/>
      <c r="M22" s="117">
        <f>'П1.5'!N29+'П1.5'!N36</f>
        <v>11.733000000000002</v>
      </c>
      <c r="N22" s="70"/>
    </row>
    <row r="23" spans="1:14" s="46" customFormat="1" ht="18" customHeight="1">
      <c r="A23" s="77"/>
      <c r="B23" s="78" t="s">
        <v>119</v>
      </c>
      <c r="C23" s="79"/>
      <c r="D23" s="82"/>
      <c r="E23" s="82"/>
      <c r="F23" s="81"/>
      <c r="G23" s="79"/>
      <c r="H23" s="82"/>
      <c r="I23" s="82"/>
      <c r="J23" s="81"/>
      <c r="K23" s="79"/>
      <c r="L23" s="82"/>
      <c r="M23" s="82"/>
      <c r="N23" s="81"/>
    </row>
    <row r="24" spans="1:14" s="46" customFormat="1" ht="18" customHeight="1">
      <c r="A24" s="72" t="s">
        <v>120</v>
      </c>
      <c r="B24" s="73" t="str">
        <f>B12</f>
        <v>ПАО "Россети"</v>
      </c>
      <c r="C24" s="74">
        <v>0</v>
      </c>
      <c r="D24" s="76"/>
      <c r="E24" s="76">
        <v>0</v>
      </c>
      <c r="F24" s="70"/>
      <c r="G24" s="74">
        <v>0</v>
      </c>
      <c r="H24" s="76"/>
      <c r="I24" s="76">
        <v>0</v>
      </c>
      <c r="J24" s="70"/>
      <c r="K24" s="74">
        <f t="shared" ref="K24:K37" si="0">C24+G24</f>
        <v>0</v>
      </c>
      <c r="L24" s="76"/>
      <c r="M24" s="76">
        <v>0</v>
      </c>
      <c r="N24" s="70"/>
    </row>
    <row r="25" spans="1:14" s="46" customFormat="1" ht="18" customHeight="1">
      <c r="A25" s="72" t="s">
        <v>121</v>
      </c>
      <c r="B25" s="85" t="s">
        <v>122</v>
      </c>
      <c r="C25" s="74">
        <f>C24-C12</f>
        <v>-22647.061000000002</v>
      </c>
      <c r="D25" s="76"/>
      <c r="E25" s="76">
        <f>E24-E12</f>
        <v>-5.915</v>
      </c>
      <c r="F25" s="86"/>
      <c r="G25" s="74">
        <f>G24-G12</f>
        <v>-20529.151999999998</v>
      </c>
      <c r="H25" s="76"/>
      <c r="I25" s="76">
        <f>I24-I12</f>
        <v>-5.915</v>
      </c>
      <c r="J25" s="86"/>
      <c r="K25" s="74">
        <f t="shared" si="0"/>
        <v>-43176.213000000003</v>
      </c>
      <c r="L25" s="76"/>
      <c r="M25" s="76">
        <f>M24-M12</f>
        <v>-5.915</v>
      </c>
      <c r="N25" s="86"/>
    </row>
    <row r="26" spans="1:14" s="46" customFormat="1" ht="17.25" customHeight="1">
      <c r="A26" s="72" t="s">
        <v>123</v>
      </c>
      <c r="B26" s="73" t="str">
        <f>B13</f>
        <v>ПАО "Россети Сибирь"-"Кузбассэнерго-РЭС"</v>
      </c>
      <c r="C26" s="74">
        <f>'П1.6'!F39</f>
        <v>71.724999999999994</v>
      </c>
      <c r="D26" s="76"/>
      <c r="E26" s="76">
        <f>'П1.6'!K39</f>
        <v>1.7999999999999999E-2</v>
      </c>
      <c r="F26" s="86"/>
      <c r="G26" s="74">
        <f>'П1.6'!F83</f>
        <v>54.142000000000003</v>
      </c>
      <c r="H26" s="76"/>
      <c r="I26" s="76">
        <f>'П1.6'!K83</f>
        <v>1.4E-2</v>
      </c>
      <c r="J26" s="86"/>
      <c r="K26" s="74">
        <f t="shared" si="0"/>
        <v>125.86699999999999</v>
      </c>
      <c r="L26" s="76"/>
      <c r="M26" s="76">
        <f>'П1.6'!K127</f>
        <v>1.6E-2</v>
      </c>
      <c r="N26" s="86"/>
    </row>
    <row r="27" spans="1:14" s="46" customFormat="1" ht="20.25" customHeight="1">
      <c r="A27" s="72" t="s">
        <v>124</v>
      </c>
      <c r="B27" s="85" t="s">
        <v>125</v>
      </c>
      <c r="C27" s="74">
        <f>C26-C13</f>
        <v>-262695.29100000003</v>
      </c>
      <c r="D27" s="76"/>
      <c r="E27" s="76">
        <f>E26-E13</f>
        <v>-68.51100000000001</v>
      </c>
      <c r="F27" s="86"/>
      <c r="G27" s="74">
        <f>G26-G13</f>
        <v>-257581.25399999999</v>
      </c>
      <c r="H27" s="76"/>
      <c r="I27" s="76">
        <f>I26-I13</f>
        <v>-66.043999999999997</v>
      </c>
      <c r="J27" s="86"/>
      <c r="K27" s="74">
        <f t="shared" si="0"/>
        <v>-520276.54500000004</v>
      </c>
      <c r="L27" s="76"/>
      <c r="M27" s="76">
        <f>M26-M13</f>
        <v>-67.277999999999977</v>
      </c>
      <c r="N27" s="86"/>
    </row>
    <row r="28" spans="1:14" s="46" customFormat="1" ht="20.25" customHeight="1">
      <c r="A28" s="72" t="s">
        <v>126</v>
      </c>
      <c r="B28" s="85" t="str">
        <f>B14</f>
        <v>АО "Электросеть"</v>
      </c>
      <c r="C28" s="74">
        <f>'П1.6'!D42</f>
        <v>8434.491</v>
      </c>
      <c r="D28" s="76"/>
      <c r="E28" s="76">
        <f>'П1.6'!I42</f>
        <v>2.2669999999999999</v>
      </c>
      <c r="F28" s="86"/>
      <c r="G28" s="74">
        <f>'П1.6'!D86</f>
        <v>6574.3549999999996</v>
      </c>
      <c r="H28" s="76"/>
      <c r="I28" s="76">
        <f>'П1.6'!I86</f>
        <v>1.968</v>
      </c>
      <c r="J28" s="86"/>
      <c r="K28" s="74">
        <f t="shared" si="0"/>
        <v>15008.846</v>
      </c>
      <c r="L28" s="76"/>
      <c r="M28" s="76">
        <f>'П1.6'!I130</f>
        <v>2.1165000000000003</v>
      </c>
      <c r="N28" s="86"/>
    </row>
    <row r="29" spans="1:14" s="46" customFormat="1" ht="20.25" customHeight="1">
      <c r="A29" s="72" t="s">
        <v>238</v>
      </c>
      <c r="B29" s="85" t="s">
        <v>245</v>
      </c>
      <c r="C29" s="74">
        <f>C28-C14</f>
        <v>-26749.118999999999</v>
      </c>
      <c r="D29" s="76"/>
      <c r="E29" s="76">
        <f>E28-E14</f>
        <v>-6.9969999999999999</v>
      </c>
      <c r="F29" s="86"/>
      <c r="G29" s="74">
        <f>G28-G14</f>
        <v>-28321.488999999998</v>
      </c>
      <c r="H29" s="76"/>
      <c r="I29" s="76">
        <f>I28-I14</f>
        <v>-7.0909999999999993</v>
      </c>
      <c r="J29" s="86"/>
      <c r="K29" s="74">
        <f t="shared" si="0"/>
        <v>-55070.607999999993</v>
      </c>
      <c r="L29" s="76"/>
      <c r="M29" s="76">
        <f>M28-M14</f>
        <v>-7.0449999999999999</v>
      </c>
      <c r="N29" s="86"/>
    </row>
    <row r="30" spans="1:14" s="46" customFormat="1" ht="20.25" customHeight="1">
      <c r="A30" s="72" t="s">
        <v>239</v>
      </c>
      <c r="B30" s="85" t="str">
        <f>B15</f>
        <v>АО "ЭнергоПаритет"</v>
      </c>
      <c r="C30" s="74">
        <f>'П1.6'!C40</f>
        <v>147.80000000000001</v>
      </c>
      <c r="D30" s="76"/>
      <c r="E30" s="76">
        <f>'П1.6'!H40</f>
        <v>3.7999999999999999E-2</v>
      </c>
      <c r="F30" s="86"/>
      <c r="G30" s="74">
        <f>'П1.6'!C84</f>
        <v>178.952</v>
      </c>
      <c r="H30" s="76"/>
      <c r="I30" s="76">
        <f>'П1.6'!H84</f>
        <v>4.4999999999999998E-2</v>
      </c>
      <c r="J30" s="86"/>
      <c r="K30" s="74">
        <f t="shared" si="0"/>
        <v>326.75200000000001</v>
      </c>
      <c r="L30" s="76"/>
      <c r="M30" s="76">
        <f>(E30+I30)/2</f>
        <v>4.1499999999999995E-2</v>
      </c>
      <c r="N30" s="86"/>
    </row>
    <row r="31" spans="1:14" s="46" customFormat="1" ht="20.25" customHeight="1">
      <c r="A31" s="72" t="s">
        <v>243</v>
      </c>
      <c r="B31" s="85" t="s">
        <v>246</v>
      </c>
      <c r="C31" s="74">
        <f>C30-C15</f>
        <v>-281.57499999999999</v>
      </c>
      <c r="D31" s="76"/>
      <c r="E31" s="76">
        <f>E30-E15</f>
        <v>-7.6000000000000012E-2</v>
      </c>
      <c r="F31" s="86"/>
      <c r="G31" s="74">
        <f>G30-G15</f>
        <v>-184.27800000000002</v>
      </c>
      <c r="H31" s="76"/>
      <c r="I31" s="76">
        <f>I30-I15</f>
        <v>-0.05</v>
      </c>
      <c r="J31" s="86"/>
      <c r="K31" s="74">
        <f t="shared" si="0"/>
        <v>-465.85300000000001</v>
      </c>
      <c r="L31" s="76"/>
      <c r="M31" s="76">
        <f>M30-M15</f>
        <v>-6.2000000000000013E-2</v>
      </c>
      <c r="N31" s="86"/>
    </row>
    <row r="32" spans="1:14" s="46" customFormat="1" ht="20.25" customHeight="1">
      <c r="A32" s="72" t="s">
        <v>240</v>
      </c>
      <c r="B32" s="85" t="str">
        <f>B16</f>
        <v>ОАО "РЖД"</v>
      </c>
      <c r="C32" s="74">
        <v>0</v>
      </c>
      <c r="D32" s="76"/>
      <c r="E32" s="76">
        <v>0</v>
      </c>
      <c r="F32" s="86"/>
      <c r="G32" s="74">
        <v>0</v>
      </c>
      <c r="H32" s="76"/>
      <c r="I32" s="76">
        <v>0</v>
      </c>
      <c r="J32" s="86"/>
      <c r="K32" s="74">
        <f t="shared" si="0"/>
        <v>0</v>
      </c>
      <c r="L32" s="76"/>
      <c r="M32" s="76">
        <v>0</v>
      </c>
      <c r="N32" s="86"/>
    </row>
    <row r="33" spans="1:14" s="46" customFormat="1" ht="20.25" customHeight="1">
      <c r="A33" s="72" t="s">
        <v>244</v>
      </c>
      <c r="B33" s="85" t="s">
        <v>246</v>
      </c>
      <c r="C33" s="74">
        <f>C32-C16</f>
        <v>-327.79700000000003</v>
      </c>
      <c r="D33" s="76"/>
      <c r="E33" s="76">
        <f>E32-E16</f>
        <v>-8.5000000000000006E-2</v>
      </c>
      <c r="F33" s="86"/>
      <c r="G33" s="74">
        <f>G32-G16</f>
        <v>-272.73200000000003</v>
      </c>
      <c r="H33" s="76"/>
      <c r="I33" s="76">
        <f>I32-I16</f>
        <v>-7.0999999999999994E-2</v>
      </c>
      <c r="J33" s="86"/>
      <c r="K33" s="74">
        <f t="shared" si="0"/>
        <v>-600.529</v>
      </c>
      <c r="L33" s="76"/>
      <c r="M33" s="76">
        <f>M32-M16</f>
        <v>-7.8E-2</v>
      </c>
      <c r="N33" s="86"/>
    </row>
    <row r="34" spans="1:14" s="46" customFormat="1" ht="20.25" customHeight="1">
      <c r="A34" s="72" t="s">
        <v>241</v>
      </c>
      <c r="B34" s="85" t="str">
        <f>'П1.6'!B129</f>
        <v>ООО "КЭнК"</v>
      </c>
      <c r="C34" s="74">
        <f>'П1.6'!C41</f>
        <v>31274.682000000001</v>
      </c>
      <c r="D34" s="76"/>
      <c r="E34" s="76">
        <f>'П1.6'!H41</f>
        <v>8.6709999999999994</v>
      </c>
      <c r="F34" s="86"/>
      <c r="G34" s="74">
        <f>'П1.6'!C85</f>
        <v>30084.177</v>
      </c>
      <c r="H34" s="76"/>
      <c r="I34" s="76">
        <f>'П1.6'!H85</f>
        <v>8.2100000000000009</v>
      </c>
      <c r="J34" s="86"/>
      <c r="K34" s="74">
        <f t="shared" si="0"/>
        <v>61358.858999999997</v>
      </c>
      <c r="L34" s="76"/>
      <c r="M34" s="76">
        <f>'П1.6'!H129</f>
        <v>8.4409999999999989</v>
      </c>
      <c r="N34" s="86"/>
    </row>
    <row r="35" spans="1:14" s="46" customFormat="1" ht="20.25" customHeight="1">
      <c r="A35" s="72" t="s">
        <v>242</v>
      </c>
      <c r="B35" s="85" t="str">
        <f>'П1.6'!B131</f>
        <v>ООО "СКЭК"</v>
      </c>
      <c r="C35" s="74">
        <f>'П1.6'!C43</f>
        <v>3092.4479999999999</v>
      </c>
      <c r="D35" s="76"/>
      <c r="E35" s="76">
        <f>'П1.6'!H43</f>
        <v>0.84399999999999997</v>
      </c>
      <c r="F35" s="86"/>
      <c r="G35" s="74">
        <f>'П1.6'!C87</f>
        <v>4093.5790000000002</v>
      </c>
      <c r="H35" s="76"/>
      <c r="I35" s="76">
        <f>'П1.6'!H87</f>
        <v>1.117</v>
      </c>
      <c r="J35" s="86"/>
      <c r="K35" s="74">
        <f t="shared" si="0"/>
        <v>7186.027</v>
      </c>
      <c r="L35" s="76"/>
      <c r="M35" s="76">
        <f>'П1.6'!H131</f>
        <v>0.98</v>
      </c>
      <c r="N35" s="86"/>
    </row>
    <row r="36" spans="1:14" s="46" customFormat="1" ht="20.25" hidden="1" customHeight="1">
      <c r="A36" s="72" t="s">
        <v>247</v>
      </c>
      <c r="B36" s="85" t="e">
        <f>'П1.6'!#REF!</f>
        <v>#REF!</v>
      </c>
      <c r="C36" s="74">
        <f>'П1.6'!C44</f>
        <v>0</v>
      </c>
      <c r="D36" s="76"/>
      <c r="E36" s="76" t="e">
        <f>'П1.6'!#REF!</f>
        <v>#REF!</v>
      </c>
      <c r="F36" s="86"/>
      <c r="G36" s="74" t="e">
        <f>'П1.6'!#REF!</f>
        <v>#REF!</v>
      </c>
      <c r="H36" s="76"/>
      <c r="I36" s="76" t="e">
        <f>'П1.6'!#REF!</f>
        <v>#REF!</v>
      </c>
      <c r="J36" s="86"/>
      <c r="K36" s="74" t="e">
        <f t="shared" si="0"/>
        <v>#REF!</v>
      </c>
      <c r="L36" s="76"/>
      <c r="M36" s="76">
        <f>'П1.6'!H132</f>
        <v>0</v>
      </c>
      <c r="N36" s="86"/>
    </row>
    <row r="37" spans="1:14" s="46" customFormat="1" ht="18" customHeight="1">
      <c r="A37" s="72" t="s">
        <v>251</v>
      </c>
      <c r="B37" s="85" t="s">
        <v>285</v>
      </c>
      <c r="C37" s="74">
        <f>'П1.4'!D29</f>
        <v>441.10399999999998</v>
      </c>
      <c r="D37" s="76"/>
      <c r="E37" s="76">
        <f>'П1.5'!D29</f>
        <v>0.152</v>
      </c>
      <c r="F37" s="86"/>
      <c r="G37" s="74">
        <f>'П1.4'!I29</f>
        <v>355.92399999999998</v>
      </c>
      <c r="H37" s="76"/>
      <c r="I37" s="76">
        <f>'П1.5'!I29</f>
        <v>0.122</v>
      </c>
      <c r="J37" s="86"/>
      <c r="K37" s="74">
        <f t="shared" si="0"/>
        <v>797.02800000000002</v>
      </c>
      <c r="L37" s="76"/>
      <c r="M37" s="76">
        <f>'П1.5'!N29</f>
        <v>0.13700000000000001</v>
      </c>
      <c r="N37" s="86"/>
    </row>
    <row r="38" spans="1:14" s="46" customFormat="1" ht="20.25" hidden="1" customHeight="1">
      <c r="A38" s="72"/>
      <c r="B38" s="85"/>
      <c r="C38" s="74"/>
      <c r="D38" s="76"/>
      <c r="E38" s="76"/>
      <c r="F38" s="86"/>
      <c r="G38" s="74"/>
      <c r="H38" s="76"/>
      <c r="I38" s="76"/>
      <c r="J38" s="86"/>
      <c r="K38" s="74"/>
      <c r="L38" s="76"/>
      <c r="M38" s="76"/>
      <c r="N38" s="86"/>
    </row>
    <row r="39" spans="1:14" s="46" customFormat="1" ht="20.25" hidden="1" customHeight="1">
      <c r="A39" s="72"/>
      <c r="B39" s="85"/>
      <c r="C39" s="74"/>
      <c r="D39" s="76"/>
      <c r="E39" s="76"/>
      <c r="F39" s="86"/>
      <c r="G39" s="74"/>
      <c r="H39" s="76"/>
      <c r="I39" s="76"/>
      <c r="J39" s="86"/>
      <c r="K39" s="74"/>
      <c r="L39" s="76"/>
      <c r="M39" s="76"/>
      <c r="N39" s="86"/>
    </row>
    <row r="40" spans="1:14" s="46" customFormat="1" ht="20.25" hidden="1" customHeight="1">
      <c r="A40" s="72"/>
      <c r="B40" s="85"/>
      <c r="C40" s="74"/>
      <c r="D40" s="76"/>
      <c r="E40" s="76"/>
      <c r="F40" s="86"/>
      <c r="G40" s="74"/>
      <c r="H40" s="76"/>
      <c r="I40" s="76"/>
      <c r="J40" s="86"/>
      <c r="K40" s="74"/>
      <c r="L40" s="76"/>
      <c r="M40" s="76"/>
      <c r="N40" s="86"/>
    </row>
    <row r="41" spans="1:14" s="46" customFormat="1" ht="20.25" hidden="1" customHeight="1">
      <c r="A41" s="72"/>
      <c r="B41" s="85"/>
      <c r="C41" s="74"/>
      <c r="D41" s="76"/>
      <c r="E41" s="76"/>
      <c r="F41" s="86"/>
      <c r="G41" s="74"/>
      <c r="H41" s="76"/>
      <c r="I41" s="76"/>
      <c r="J41" s="86"/>
      <c r="K41" s="74"/>
      <c r="L41" s="76"/>
      <c r="M41" s="76"/>
      <c r="N41" s="86"/>
    </row>
    <row r="42" spans="1:14" s="46" customFormat="1" ht="15.75" hidden="1" customHeight="1">
      <c r="A42" s="72" t="s">
        <v>126</v>
      </c>
      <c r="B42" s="73" t="s">
        <v>111</v>
      </c>
      <c r="C42" s="74"/>
      <c r="D42" s="76"/>
      <c r="E42" s="76"/>
      <c r="F42" s="86"/>
      <c r="G42" s="74"/>
      <c r="H42" s="76"/>
      <c r="I42" s="76"/>
      <c r="J42" s="86"/>
      <c r="K42" s="74"/>
      <c r="L42" s="76"/>
      <c r="M42" s="76"/>
      <c r="N42" s="86"/>
    </row>
    <row r="43" spans="1:14" s="46" customFormat="1" ht="18" customHeight="1">
      <c r="A43" s="77" t="s">
        <v>96</v>
      </c>
      <c r="B43" s="78" t="s">
        <v>127</v>
      </c>
      <c r="C43" s="79"/>
      <c r="D43" s="82"/>
      <c r="E43" s="82"/>
      <c r="F43" s="70"/>
      <c r="G43" s="79"/>
      <c r="H43" s="82"/>
      <c r="I43" s="82"/>
      <c r="J43" s="70"/>
      <c r="K43" s="79"/>
      <c r="L43" s="82"/>
      <c r="M43" s="82"/>
      <c r="N43" s="70"/>
    </row>
    <row r="44" spans="1:14" s="46" customFormat="1" ht="18" customHeight="1">
      <c r="A44" s="77"/>
      <c r="B44" s="78" t="s">
        <v>107</v>
      </c>
      <c r="C44" s="79"/>
      <c r="D44" s="82"/>
      <c r="E44" s="82"/>
      <c r="F44" s="70"/>
      <c r="G44" s="79"/>
      <c r="H44" s="82"/>
      <c r="I44" s="82"/>
      <c r="J44" s="70"/>
      <c r="K44" s="79"/>
      <c r="L44" s="82"/>
      <c r="M44" s="82"/>
      <c r="N44" s="83"/>
    </row>
    <row r="45" spans="1:14" s="46" customFormat="1" ht="18" customHeight="1">
      <c r="A45" s="77" t="s">
        <v>128</v>
      </c>
      <c r="B45" s="78" t="s">
        <v>105</v>
      </c>
      <c r="C45" s="79"/>
      <c r="D45" s="82"/>
      <c r="E45" s="82"/>
      <c r="F45" s="70"/>
      <c r="G45" s="79"/>
      <c r="H45" s="82"/>
      <c r="I45" s="82"/>
      <c r="J45" s="70"/>
      <c r="K45" s="79"/>
      <c r="L45" s="82"/>
      <c r="M45" s="82"/>
      <c r="N45" s="70"/>
    </row>
    <row r="46" spans="1:14" s="46" customFormat="1" ht="18" customHeight="1">
      <c r="A46" s="77" t="s">
        <v>129</v>
      </c>
      <c r="B46" s="78" t="s">
        <v>106</v>
      </c>
      <c r="C46" s="79"/>
      <c r="D46" s="82"/>
      <c r="E46" s="82"/>
      <c r="F46" s="70"/>
      <c r="G46" s="79"/>
      <c r="H46" s="82"/>
      <c r="I46" s="82"/>
      <c r="J46" s="70"/>
      <c r="K46" s="79"/>
      <c r="L46" s="82"/>
      <c r="M46" s="82"/>
      <c r="N46" s="70"/>
    </row>
    <row r="47" spans="1:14" s="46" customFormat="1" ht="18" customHeight="1">
      <c r="A47" s="77"/>
      <c r="B47" s="78" t="s">
        <v>107</v>
      </c>
      <c r="C47" s="79"/>
      <c r="D47" s="82"/>
      <c r="E47" s="82"/>
      <c r="F47" s="70"/>
      <c r="G47" s="79"/>
      <c r="H47" s="82"/>
      <c r="I47" s="82"/>
      <c r="J47" s="70"/>
      <c r="K47" s="79"/>
      <c r="L47" s="82"/>
      <c r="M47" s="82"/>
      <c r="N47" s="70"/>
    </row>
    <row r="48" spans="1:14" s="46" customFormat="1" ht="18" customHeight="1">
      <c r="A48" s="77" t="s">
        <v>130</v>
      </c>
      <c r="B48" s="78" t="s">
        <v>108</v>
      </c>
      <c r="C48" s="79"/>
      <c r="D48" s="82"/>
      <c r="E48" s="82"/>
      <c r="F48" s="70"/>
      <c r="G48" s="79"/>
      <c r="H48" s="82"/>
      <c r="I48" s="82"/>
      <c r="J48" s="70"/>
      <c r="K48" s="79"/>
      <c r="L48" s="82"/>
      <c r="M48" s="82"/>
      <c r="N48" s="70"/>
    </row>
    <row r="49" spans="1:14" s="46" customFormat="1" ht="18" customHeight="1">
      <c r="A49" s="77" t="s">
        <v>131</v>
      </c>
      <c r="B49" s="78" t="s">
        <v>109</v>
      </c>
      <c r="C49" s="79"/>
      <c r="D49" s="82"/>
      <c r="E49" s="82"/>
      <c r="F49" s="70"/>
      <c r="G49" s="79"/>
      <c r="H49" s="82"/>
      <c r="I49" s="82"/>
      <c r="J49" s="70"/>
      <c r="K49" s="79"/>
      <c r="L49" s="82"/>
      <c r="M49" s="82"/>
      <c r="N49" s="70"/>
    </row>
    <row r="50" spans="1:14" s="46" customFormat="1" ht="18" customHeight="1">
      <c r="A50" s="77"/>
      <c r="B50" s="78" t="s">
        <v>132</v>
      </c>
      <c r="C50" s="79"/>
      <c r="D50" s="82"/>
      <c r="E50" s="82"/>
      <c r="F50" s="70"/>
      <c r="G50" s="79"/>
      <c r="H50" s="82"/>
      <c r="I50" s="82"/>
      <c r="J50" s="70"/>
      <c r="K50" s="79"/>
      <c r="L50" s="82"/>
      <c r="M50" s="82"/>
      <c r="N50" s="70"/>
    </row>
    <row r="51" spans="1:14" s="46" customFormat="1" ht="18" customHeight="1">
      <c r="A51" s="77" t="s">
        <v>133</v>
      </c>
      <c r="B51" s="78" t="s">
        <v>134</v>
      </c>
      <c r="C51" s="79"/>
      <c r="D51" s="82"/>
      <c r="E51" s="82"/>
      <c r="F51" s="70"/>
      <c r="G51" s="79"/>
      <c r="H51" s="82"/>
      <c r="I51" s="82"/>
      <c r="J51" s="70"/>
      <c r="K51" s="79"/>
      <c r="L51" s="82"/>
      <c r="M51" s="82"/>
      <c r="N51" s="70"/>
    </row>
    <row r="52" spans="1:14" s="46" customFormat="1" ht="18" customHeight="1">
      <c r="A52" s="77" t="s">
        <v>135</v>
      </c>
      <c r="B52" s="78" t="s">
        <v>136</v>
      </c>
      <c r="C52" s="79"/>
      <c r="D52" s="82"/>
      <c r="E52" s="82"/>
      <c r="F52" s="70"/>
      <c r="G52" s="79"/>
      <c r="H52" s="82"/>
      <c r="I52" s="82"/>
      <c r="J52" s="70"/>
      <c r="K52" s="79"/>
      <c r="L52" s="82"/>
      <c r="M52" s="82"/>
      <c r="N52" s="70"/>
    </row>
    <row r="53" spans="1:14" s="46" customFormat="1" ht="18" customHeight="1">
      <c r="A53" s="77"/>
      <c r="B53" s="78" t="s">
        <v>114</v>
      </c>
      <c r="C53" s="79"/>
      <c r="D53" s="82"/>
      <c r="E53" s="82"/>
      <c r="F53" s="70"/>
      <c r="G53" s="79"/>
      <c r="H53" s="82"/>
      <c r="I53" s="82"/>
      <c r="J53" s="70"/>
      <c r="K53" s="79"/>
      <c r="L53" s="82"/>
      <c r="M53" s="82"/>
      <c r="N53" s="70"/>
    </row>
    <row r="54" spans="1:14" s="46" customFormat="1" ht="18" customHeight="1">
      <c r="A54" s="77" t="s">
        <v>137</v>
      </c>
      <c r="B54" s="78" t="s">
        <v>116</v>
      </c>
      <c r="C54" s="79"/>
      <c r="D54" s="82"/>
      <c r="E54" s="82"/>
      <c r="F54" s="70"/>
      <c r="G54" s="79"/>
      <c r="H54" s="82"/>
      <c r="I54" s="82"/>
      <c r="J54" s="70"/>
      <c r="K54" s="79"/>
      <c r="L54" s="82"/>
      <c r="M54" s="82"/>
      <c r="N54" s="70"/>
    </row>
    <row r="55" spans="1:14" s="46" customFormat="1" ht="18" customHeight="1">
      <c r="A55" s="77" t="s">
        <v>138</v>
      </c>
      <c r="B55" s="78" t="s">
        <v>118</v>
      </c>
      <c r="C55" s="79"/>
      <c r="D55" s="82"/>
      <c r="E55" s="82"/>
      <c r="F55" s="70"/>
      <c r="G55" s="79"/>
      <c r="H55" s="82"/>
      <c r="I55" s="82"/>
      <c r="J55" s="70"/>
      <c r="K55" s="79"/>
      <c r="L55" s="82"/>
      <c r="M55" s="82"/>
      <c r="N55" s="70"/>
    </row>
    <row r="56" spans="1:14" s="46" customFormat="1" ht="18" customHeight="1">
      <c r="A56" s="77"/>
      <c r="B56" s="78" t="s">
        <v>119</v>
      </c>
      <c r="C56" s="79"/>
      <c r="D56" s="82"/>
      <c r="E56" s="82"/>
      <c r="F56" s="70"/>
      <c r="G56" s="79"/>
      <c r="H56" s="82"/>
      <c r="I56" s="82"/>
      <c r="J56" s="70"/>
      <c r="K56" s="79"/>
      <c r="L56" s="82"/>
      <c r="M56" s="82"/>
      <c r="N56" s="70"/>
    </row>
    <row r="57" spans="1:14" s="46" customFormat="1" ht="18" customHeight="1">
      <c r="A57" s="77" t="s">
        <v>139</v>
      </c>
      <c r="B57" s="78" t="s">
        <v>108</v>
      </c>
      <c r="C57" s="79"/>
      <c r="D57" s="82"/>
      <c r="E57" s="82"/>
      <c r="F57" s="70"/>
      <c r="G57" s="79"/>
      <c r="H57" s="82"/>
      <c r="I57" s="82"/>
      <c r="J57" s="70"/>
      <c r="K57" s="79"/>
      <c r="L57" s="82"/>
      <c r="M57" s="82"/>
      <c r="N57" s="70"/>
    </row>
    <row r="58" spans="1:14" s="46" customFormat="1" ht="18" customHeight="1">
      <c r="A58" s="77" t="s">
        <v>140</v>
      </c>
      <c r="B58" s="78" t="s">
        <v>141</v>
      </c>
      <c r="C58" s="79"/>
      <c r="D58" s="82"/>
      <c r="E58" s="82"/>
      <c r="F58" s="70"/>
      <c r="G58" s="79"/>
      <c r="H58" s="82"/>
      <c r="I58" s="82"/>
      <c r="J58" s="70"/>
      <c r="K58" s="79"/>
      <c r="L58" s="82"/>
      <c r="M58" s="82"/>
      <c r="N58" s="70"/>
    </row>
    <row r="59" spans="1:14" s="46" customFormat="1" ht="18" customHeight="1">
      <c r="A59" s="77" t="s">
        <v>142</v>
      </c>
      <c r="B59" s="78" t="s">
        <v>109</v>
      </c>
      <c r="C59" s="79"/>
      <c r="D59" s="82"/>
      <c r="E59" s="82"/>
      <c r="F59" s="70"/>
      <c r="G59" s="79"/>
      <c r="H59" s="82"/>
      <c r="I59" s="82"/>
      <c r="J59" s="70"/>
      <c r="K59" s="79"/>
      <c r="L59" s="82"/>
      <c r="M59" s="82"/>
      <c r="N59" s="70"/>
    </row>
    <row r="60" spans="1:14" s="46" customFormat="1" ht="18" customHeight="1">
      <c r="A60" s="77" t="s">
        <v>143</v>
      </c>
      <c r="B60" s="78" t="s">
        <v>125</v>
      </c>
      <c r="C60" s="79"/>
      <c r="D60" s="82"/>
      <c r="E60" s="82"/>
      <c r="F60" s="70"/>
      <c r="G60" s="79"/>
      <c r="H60" s="82"/>
      <c r="I60" s="82"/>
      <c r="J60" s="70"/>
      <c r="K60" s="79"/>
      <c r="L60" s="82"/>
      <c r="M60" s="82"/>
      <c r="N60" s="70"/>
    </row>
    <row r="61" spans="1:14" s="46" customFormat="1" ht="18" customHeight="1">
      <c r="A61" s="77"/>
      <c r="B61" s="78" t="s">
        <v>132</v>
      </c>
      <c r="C61" s="79"/>
      <c r="D61" s="82"/>
      <c r="E61" s="82"/>
      <c r="F61" s="70"/>
      <c r="G61" s="79"/>
      <c r="H61" s="82"/>
      <c r="I61" s="82"/>
      <c r="J61" s="70"/>
      <c r="K61" s="79"/>
      <c r="L61" s="82"/>
      <c r="M61" s="82"/>
      <c r="N61" s="70"/>
    </row>
    <row r="62" spans="1:14" s="46" customFormat="1" ht="18" customHeight="1">
      <c r="A62" s="77" t="s">
        <v>144</v>
      </c>
      <c r="B62" s="78" t="s">
        <v>145</v>
      </c>
      <c r="C62" s="79"/>
      <c r="D62" s="82"/>
      <c r="E62" s="82"/>
      <c r="F62" s="70"/>
      <c r="G62" s="79"/>
      <c r="H62" s="82"/>
      <c r="I62" s="82"/>
      <c r="J62" s="70"/>
      <c r="K62" s="79"/>
      <c r="L62" s="82"/>
      <c r="M62" s="82"/>
      <c r="N62" s="70"/>
    </row>
    <row r="63" spans="1:14" s="46" customFormat="1" ht="18" customHeight="1">
      <c r="A63" s="77" t="s">
        <v>146</v>
      </c>
      <c r="B63" s="87" t="s">
        <v>147</v>
      </c>
      <c r="C63" s="79"/>
      <c r="D63" s="82"/>
      <c r="E63" s="82"/>
      <c r="F63" s="70"/>
      <c r="G63" s="79"/>
      <c r="H63" s="82"/>
      <c r="I63" s="82"/>
      <c r="J63" s="70"/>
      <c r="K63" s="79"/>
      <c r="L63" s="82"/>
      <c r="M63" s="82"/>
      <c r="N63" s="70"/>
    </row>
    <row r="64" spans="1:14" s="46" customFormat="1" ht="18" customHeight="1">
      <c r="A64" s="77" t="s">
        <v>148</v>
      </c>
      <c r="B64" s="87" t="s">
        <v>149</v>
      </c>
      <c r="C64" s="79"/>
      <c r="D64" s="82"/>
      <c r="E64" s="82"/>
      <c r="F64" s="70"/>
      <c r="G64" s="79"/>
      <c r="H64" s="82"/>
      <c r="I64" s="82"/>
      <c r="J64" s="70"/>
      <c r="K64" s="79"/>
      <c r="L64" s="82"/>
      <c r="M64" s="82"/>
      <c r="N64" s="70"/>
    </row>
    <row r="65" spans="1:14" s="46" customFormat="1" ht="18" customHeight="1">
      <c r="A65" s="77" t="s">
        <v>150</v>
      </c>
      <c r="B65" s="87" t="s">
        <v>151</v>
      </c>
      <c r="C65" s="79"/>
      <c r="D65" s="82"/>
      <c r="E65" s="82"/>
      <c r="F65" s="70"/>
      <c r="G65" s="79"/>
      <c r="H65" s="82"/>
      <c r="I65" s="82"/>
      <c r="J65" s="70"/>
      <c r="K65" s="79"/>
      <c r="L65" s="82"/>
      <c r="M65" s="82"/>
      <c r="N65" s="70"/>
    </row>
    <row r="66" spans="1:14" s="46" customFormat="1" ht="18" customHeight="1">
      <c r="A66" s="77" t="s">
        <v>152</v>
      </c>
      <c r="B66" s="87" t="s">
        <v>153</v>
      </c>
      <c r="C66" s="79"/>
      <c r="D66" s="82"/>
      <c r="E66" s="82"/>
      <c r="F66" s="70"/>
      <c r="G66" s="79"/>
      <c r="H66" s="82"/>
      <c r="I66" s="82"/>
      <c r="J66" s="70"/>
      <c r="K66" s="79"/>
      <c r="L66" s="82"/>
      <c r="M66" s="82"/>
      <c r="N66" s="70"/>
    </row>
    <row r="67" spans="1:14" ht="18" customHeight="1">
      <c r="A67" s="88" t="s">
        <v>154</v>
      </c>
      <c r="B67" s="89" t="s">
        <v>155</v>
      </c>
      <c r="C67" s="74">
        <f>'П1.4'!E16</f>
        <v>276911.51</v>
      </c>
      <c r="D67" s="76"/>
      <c r="E67" s="76">
        <f>'П1.5'!E7</f>
        <v>72.441000000000003</v>
      </c>
      <c r="F67" s="70"/>
      <c r="G67" s="74">
        <f>'П1.4'!J7</f>
        <v>272285.41200000001</v>
      </c>
      <c r="H67" s="76"/>
      <c r="I67" s="76">
        <f>'П1.5'!J7</f>
        <v>70.525999999999996</v>
      </c>
      <c r="J67" s="70"/>
      <c r="K67" s="74">
        <f>C67+G67</f>
        <v>549196.92200000002</v>
      </c>
      <c r="L67" s="76"/>
      <c r="M67" s="76">
        <f>'П1.5'!O7</f>
        <v>71.483999999999995</v>
      </c>
      <c r="N67" s="70"/>
    </row>
    <row r="68" spans="1:14" s="46" customFormat="1" ht="18" customHeight="1">
      <c r="A68" s="77"/>
      <c r="B68" s="78" t="s">
        <v>107</v>
      </c>
      <c r="C68" s="79"/>
      <c r="D68" s="82"/>
      <c r="E68" s="82"/>
      <c r="F68" s="81"/>
      <c r="G68" s="79"/>
      <c r="H68" s="82"/>
      <c r="I68" s="82"/>
      <c r="J68" s="81"/>
      <c r="K68" s="79"/>
      <c r="L68" s="82"/>
      <c r="M68" s="82"/>
      <c r="N68" s="81"/>
    </row>
    <row r="69" spans="1:14" ht="18" customHeight="1">
      <c r="A69" s="88" t="s">
        <v>156</v>
      </c>
      <c r="B69" s="89" t="s">
        <v>157</v>
      </c>
      <c r="C69" s="74">
        <v>0</v>
      </c>
      <c r="D69" s="76"/>
      <c r="E69" s="76">
        <v>0</v>
      </c>
      <c r="F69" s="70"/>
      <c r="G69" s="74">
        <v>0</v>
      </c>
      <c r="H69" s="76"/>
      <c r="I69" s="76">
        <v>0</v>
      </c>
      <c r="J69" s="70"/>
      <c r="K69" s="74">
        <f>C69+G69</f>
        <v>0</v>
      </c>
      <c r="L69" s="76"/>
      <c r="M69" s="76">
        <v>0</v>
      </c>
      <c r="N69" s="70"/>
    </row>
    <row r="70" spans="1:14" ht="18" customHeight="1">
      <c r="A70" s="88" t="s">
        <v>158</v>
      </c>
      <c r="B70" s="89" t="s">
        <v>106</v>
      </c>
      <c r="C70" s="74">
        <f>C67</f>
        <v>276911.51</v>
      </c>
      <c r="D70" s="76"/>
      <c r="E70" s="76">
        <f>E67</f>
        <v>72.441000000000003</v>
      </c>
      <c r="F70" s="70"/>
      <c r="G70" s="74">
        <f>G67</f>
        <v>272285.41200000001</v>
      </c>
      <c r="H70" s="76"/>
      <c r="I70" s="76">
        <f>I67</f>
        <v>70.525999999999996</v>
      </c>
      <c r="J70" s="70"/>
      <c r="K70" s="74">
        <f>C70+G70</f>
        <v>549196.92200000002</v>
      </c>
      <c r="L70" s="76"/>
      <c r="M70" s="76">
        <f>M67</f>
        <v>71.483999999999995</v>
      </c>
      <c r="N70" s="70"/>
    </row>
    <row r="71" spans="1:14" s="46" customFormat="1" ht="18" customHeight="1">
      <c r="A71" s="77"/>
      <c r="B71" s="78" t="s">
        <v>107</v>
      </c>
      <c r="C71" s="79"/>
      <c r="D71" s="82"/>
      <c r="E71" s="82"/>
      <c r="F71" s="81"/>
      <c r="G71" s="79"/>
      <c r="H71" s="82"/>
      <c r="I71" s="82"/>
      <c r="J71" s="81"/>
      <c r="K71" s="79"/>
      <c r="L71" s="82"/>
      <c r="M71" s="82"/>
      <c r="N71" s="81"/>
    </row>
    <row r="72" spans="1:14" s="46" customFormat="1" ht="18" customHeight="1">
      <c r="A72" s="72" t="s">
        <v>159</v>
      </c>
      <c r="B72" s="73" t="str">
        <f>B12</f>
        <v>ПАО "Россети"</v>
      </c>
      <c r="C72" s="74">
        <f>C12</f>
        <v>22647.061000000002</v>
      </c>
      <c r="D72" s="76"/>
      <c r="E72" s="76">
        <f>E12</f>
        <v>5.915</v>
      </c>
      <c r="F72" s="70"/>
      <c r="G72" s="74">
        <f>G12</f>
        <v>20529.151999999998</v>
      </c>
      <c r="H72" s="76"/>
      <c r="I72" s="76">
        <f>I12</f>
        <v>5.915</v>
      </c>
      <c r="J72" s="70"/>
      <c r="K72" s="74">
        <f>C72+G72</f>
        <v>43176.213000000003</v>
      </c>
      <c r="L72" s="76"/>
      <c r="M72" s="76">
        <f>M12</f>
        <v>5.915</v>
      </c>
      <c r="N72" s="70"/>
    </row>
    <row r="73" spans="1:14" s="46" customFormat="1" ht="18" customHeight="1">
      <c r="A73" s="72" t="s">
        <v>160</v>
      </c>
      <c r="B73" s="73" t="str">
        <f>B13</f>
        <v>ПАО "Россети Сибирь"-"Кузбассэнерго-РЭС"</v>
      </c>
      <c r="C73" s="74">
        <f>C67-C72-C74</f>
        <v>219080.83900000004</v>
      </c>
      <c r="D73" s="76"/>
      <c r="E73" s="76">
        <f>E67-E72-E74</f>
        <v>57.262</v>
      </c>
      <c r="F73" s="70"/>
      <c r="G73" s="74">
        <f>G67-G72-G74</f>
        <v>216860.41600000003</v>
      </c>
      <c r="H73" s="76"/>
      <c r="I73" s="76">
        <f>I67-I72-I74</f>
        <v>55.551999999999992</v>
      </c>
      <c r="J73" s="70"/>
      <c r="K73" s="74">
        <f>C73+G73</f>
        <v>435941.25500000006</v>
      </c>
      <c r="L73" s="76"/>
      <c r="M73" s="76">
        <f>M67-M72-M74</f>
        <v>56.407499999999985</v>
      </c>
      <c r="N73" s="70"/>
    </row>
    <row r="74" spans="1:14" s="46" customFormat="1" ht="18" customHeight="1">
      <c r="A74" s="72" t="s">
        <v>161</v>
      </c>
      <c r="B74" s="73" t="str">
        <f>B14</f>
        <v>АО "Электросеть"</v>
      </c>
      <c r="C74" s="74">
        <f>C14</f>
        <v>35183.61</v>
      </c>
      <c r="D74" s="76"/>
      <c r="E74" s="76">
        <f>E14</f>
        <v>9.2639999999999993</v>
      </c>
      <c r="F74" s="70"/>
      <c r="G74" s="74">
        <f>G14</f>
        <v>34895.843999999997</v>
      </c>
      <c r="H74" s="76"/>
      <c r="I74" s="76">
        <f>I14</f>
        <v>9.0589999999999993</v>
      </c>
      <c r="J74" s="70"/>
      <c r="K74" s="74">
        <f>C74+G74</f>
        <v>70079.453999999998</v>
      </c>
      <c r="L74" s="76"/>
      <c r="M74" s="76">
        <f>M14</f>
        <v>9.1615000000000002</v>
      </c>
      <c r="N74" s="70"/>
    </row>
    <row r="75" spans="1:14" s="46" customFormat="1" ht="18" customHeight="1">
      <c r="A75" s="88" t="s">
        <v>162</v>
      </c>
      <c r="B75" s="89" t="s">
        <v>134</v>
      </c>
      <c r="C75" s="74">
        <f>'П1.4'!E22</f>
        <v>3491.6010000000001</v>
      </c>
      <c r="D75" s="76"/>
      <c r="E75" s="76">
        <f>'П1.5'!E22</f>
        <v>0.91300000000000003</v>
      </c>
      <c r="F75" s="70"/>
      <c r="G75" s="74">
        <f>'П1.4'!J22</f>
        <v>3732.9919999999997</v>
      </c>
      <c r="H75" s="76"/>
      <c r="I75" s="76">
        <f>'П1.5'!J22</f>
        <v>0.97199999999999998</v>
      </c>
      <c r="J75" s="70"/>
      <c r="K75" s="74">
        <f>C75+G75</f>
        <v>7224.5929999999998</v>
      </c>
      <c r="L75" s="76"/>
      <c r="M75" s="76">
        <f>'П1.5'!O22</f>
        <v>0.94299999999999995</v>
      </c>
      <c r="N75" s="70"/>
    </row>
    <row r="76" spans="1:14" s="46" customFormat="1" ht="18" customHeight="1">
      <c r="A76" s="88" t="s">
        <v>24</v>
      </c>
      <c r="B76" s="89" t="s">
        <v>136</v>
      </c>
      <c r="C76" s="74">
        <f>'П1.4'!E30+'П1.4'!E29</f>
        <v>99750.512000000002</v>
      </c>
      <c r="D76" s="76"/>
      <c r="E76" s="76">
        <f>'П1.5'!E29+'П1.5'!E30</f>
        <v>26.13</v>
      </c>
      <c r="F76" s="70"/>
      <c r="G76" s="74">
        <f>'П1.4'!J29+'П1.4'!J30</f>
        <v>98368.660999999993</v>
      </c>
      <c r="H76" s="76"/>
      <c r="I76" s="76">
        <f>'П1.5'!J29+'П1.5'!J30</f>
        <v>25.888999999999999</v>
      </c>
      <c r="J76" s="70"/>
      <c r="K76" s="74">
        <f>C76+G76</f>
        <v>198119.17300000001</v>
      </c>
      <c r="L76" s="76"/>
      <c r="M76" s="76">
        <f>'П1.5'!O29+'П1.5'!O30</f>
        <v>26.01</v>
      </c>
      <c r="N76" s="70"/>
    </row>
    <row r="77" spans="1:14" s="46" customFormat="1" ht="18" customHeight="1">
      <c r="A77" s="77"/>
      <c r="B77" s="78" t="s">
        <v>114</v>
      </c>
      <c r="C77" s="79"/>
      <c r="D77" s="82"/>
      <c r="E77" s="82"/>
      <c r="F77" s="81"/>
      <c r="G77" s="79"/>
      <c r="H77" s="82"/>
      <c r="I77" s="82"/>
      <c r="J77" s="81"/>
      <c r="K77" s="79"/>
      <c r="L77" s="82"/>
      <c r="M77" s="82"/>
      <c r="N77" s="81"/>
    </row>
    <row r="78" spans="1:14" s="46" customFormat="1" ht="18" customHeight="1">
      <c r="A78" s="88" t="s">
        <v>163</v>
      </c>
      <c r="B78" s="89" t="s">
        <v>116</v>
      </c>
      <c r="C78" s="74">
        <f>'П1.4'!E33</f>
        <v>91050.96</v>
      </c>
      <c r="D78" s="76"/>
      <c r="E78" s="76">
        <f>'П1.5'!E33</f>
        <v>23.771999999999998</v>
      </c>
      <c r="F78" s="70"/>
      <c r="G78" s="74">
        <f>'П1.4'!J33</f>
        <v>91607.350999999995</v>
      </c>
      <c r="H78" s="76"/>
      <c r="I78" s="76">
        <f>'П1.5'!J33</f>
        <v>23.856999999999999</v>
      </c>
      <c r="J78" s="70"/>
      <c r="K78" s="74">
        <f>C78+G78</f>
        <v>182658.31099999999</v>
      </c>
      <c r="L78" s="76"/>
      <c r="M78" s="76">
        <f>'П1.5'!O33</f>
        <v>23.815000000000001</v>
      </c>
      <c r="N78" s="70"/>
    </row>
    <row r="79" spans="1:14" s="46" customFormat="1" ht="18" customHeight="1">
      <c r="A79" s="88" t="s">
        <v>164</v>
      </c>
      <c r="B79" s="89" t="s">
        <v>118</v>
      </c>
      <c r="C79" s="74">
        <f>'П1.4'!E29+'П1.4'!E35</f>
        <v>8699.5519999999997</v>
      </c>
      <c r="D79" s="76"/>
      <c r="E79" s="76">
        <f>'П1.5'!E29+'П1.5'!E36</f>
        <v>2.3580000000000001</v>
      </c>
      <c r="F79" s="70"/>
      <c r="G79" s="74">
        <f>'П1.4'!J29+'П1.4'!J35</f>
        <v>6761.3099999999995</v>
      </c>
      <c r="H79" s="76"/>
      <c r="I79" s="76">
        <f>'П1.5'!J29+'П1.5'!J36</f>
        <v>2.032</v>
      </c>
      <c r="J79" s="70"/>
      <c r="K79" s="74">
        <f>C79+G79</f>
        <v>15460.861999999999</v>
      </c>
      <c r="L79" s="76"/>
      <c r="M79" s="76">
        <f>+'П1.5'!O36+'П1.5'!O29</f>
        <v>2.1949999999999998</v>
      </c>
      <c r="N79" s="70"/>
    </row>
    <row r="80" spans="1:14" s="46" customFormat="1" ht="18" customHeight="1">
      <c r="A80" s="77"/>
      <c r="B80" s="78" t="s">
        <v>119</v>
      </c>
      <c r="C80" s="79"/>
      <c r="D80" s="82"/>
      <c r="E80" s="82"/>
      <c r="F80" s="81"/>
      <c r="G80" s="79"/>
      <c r="H80" s="82"/>
      <c r="I80" s="82"/>
      <c r="J80" s="81"/>
      <c r="K80" s="79"/>
      <c r="L80" s="82"/>
      <c r="M80" s="82"/>
      <c r="N80" s="81"/>
    </row>
    <row r="81" spans="1:14" s="46" customFormat="1" ht="18" customHeight="1">
      <c r="A81" s="72" t="s">
        <v>165</v>
      </c>
      <c r="B81" s="73" t="str">
        <f>B72</f>
        <v>ПАО "Россети"</v>
      </c>
      <c r="C81" s="74">
        <v>0</v>
      </c>
      <c r="D81" s="76"/>
      <c r="E81" s="76">
        <v>0</v>
      </c>
      <c r="F81" s="70"/>
      <c r="G81" s="74">
        <v>0</v>
      </c>
      <c r="H81" s="76"/>
      <c r="I81" s="76">
        <v>0</v>
      </c>
      <c r="J81" s="70"/>
      <c r="K81" s="74">
        <f>C81+G81</f>
        <v>0</v>
      </c>
      <c r="L81" s="76"/>
      <c r="M81" s="76">
        <v>0</v>
      </c>
      <c r="N81" s="70"/>
    </row>
    <row r="82" spans="1:14" s="46" customFormat="1" ht="18" customHeight="1">
      <c r="A82" s="72" t="s">
        <v>166</v>
      </c>
      <c r="B82" s="73" t="s">
        <v>167</v>
      </c>
      <c r="C82" s="74">
        <f>C81-C72</f>
        <v>-22647.061000000002</v>
      </c>
      <c r="D82" s="76"/>
      <c r="E82" s="76">
        <f>E81-E72</f>
        <v>-5.915</v>
      </c>
      <c r="F82" s="86"/>
      <c r="G82" s="74">
        <f>G81-G72</f>
        <v>-20529.151999999998</v>
      </c>
      <c r="H82" s="76"/>
      <c r="I82" s="76">
        <f>I81-I72</f>
        <v>-5.915</v>
      </c>
      <c r="J82" s="86"/>
      <c r="K82" s="74">
        <f>C82+G82</f>
        <v>-43176.213000000003</v>
      </c>
      <c r="L82" s="76"/>
      <c r="M82" s="76">
        <f>M81-M72</f>
        <v>-5.915</v>
      </c>
      <c r="N82" s="86"/>
    </row>
    <row r="83" spans="1:14" s="46" customFormat="1" ht="18" customHeight="1">
      <c r="A83" s="72" t="s">
        <v>168</v>
      </c>
      <c r="B83" s="73" t="str">
        <f>B73</f>
        <v>ПАО "Россети Сибирь"-"Кузбассэнерго-РЭС"</v>
      </c>
      <c r="C83" s="74">
        <f>'П1.6'!D39</f>
        <v>0</v>
      </c>
      <c r="D83" s="76"/>
      <c r="E83" s="76">
        <f>'П1.6'!I39</f>
        <v>0</v>
      </c>
      <c r="F83" s="86"/>
      <c r="G83" s="74">
        <f>'П1.6'!D83</f>
        <v>0</v>
      </c>
      <c r="H83" s="76"/>
      <c r="I83" s="76">
        <f>'П1.6'!I83</f>
        <v>0</v>
      </c>
      <c r="J83" s="86"/>
      <c r="K83" s="74">
        <f>C83+G83</f>
        <v>0</v>
      </c>
      <c r="L83" s="76"/>
      <c r="M83" s="76">
        <f>'П1.6'!I127</f>
        <v>0</v>
      </c>
      <c r="N83" s="86"/>
    </row>
    <row r="84" spans="1:14" s="46" customFormat="1" ht="18" customHeight="1">
      <c r="A84" s="72" t="s">
        <v>169</v>
      </c>
      <c r="B84" s="73" t="s">
        <v>170</v>
      </c>
      <c r="C84" s="74">
        <f>C83-C73</f>
        <v>-219080.83900000004</v>
      </c>
      <c r="D84" s="76"/>
      <c r="E84" s="76">
        <f>E83-E73</f>
        <v>-57.262</v>
      </c>
      <c r="F84" s="86"/>
      <c r="G84" s="74">
        <f>G83-G73</f>
        <v>-216860.41600000003</v>
      </c>
      <c r="H84" s="76"/>
      <c r="I84" s="76">
        <f>I83-I73</f>
        <v>-55.551999999999992</v>
      </c>
      <c r="J84" s="86"/>
      <c r="K84" s="74">
        <f>C84+G84</f>
        <v>-435941.25500000006</v>
      </c>
      <c r="L84" s="76"/>
      <c r="M84" s="76">
        <f>M83-M73</f>
        <v>-56.407499999999985</v>
      </c>
      <c r="N84" s="86"/>
    </row>
    <row r="85" spans="1:14" s="46" customFormat="1" ht="18" customHeight="1">
      <c r="A85" s="72" t="s">
        <v>171</v>
      </c>
      <c r="B85" s="85" t="str">
        <f>B74</f>
        <v>АО "Электросеть"</v>
      </c>
      <c r="C85" s="74">
        <f>C28</f>
        <v>8434.491</v>
      </c>
      <c r="D85" s="74"/>
      <c r="E85" s="74">
        <f>E28</f>
        <v>2.2669999999999999</v>
      </c>
      <c r="F85" s="86"/>
      <c r="G85" s="74">
        <f>G28</f>
        <v>6574.3549999999996</v>
      </c>
      <c r="H85" s="74"/>
      <c r="I85" s="74">
        <f>I28</f>
        <v>1.968</v>
      </c>
      <c r="J85" s="86"/>
      <c r="K85" s="74">
        <f>K28</f>
        <v>15008.846</v>
      </c>
      <c r="L85" s="74"/>
      <c r="M85" s="74">
        <f>M28</f>
        <v>2.1165000000000003</v>
      </c>
      <c r="N85" s="86"/>
    </row>
    <row r="86" spans="1:14" s="46" customFormat="1" ht="18" customHeight="1">
      <c r="A86" s="72" t="s">
        <v>172</v>
      </c>
      <c r="B86" s="85" t="s">
        <v>173</v>
      </c>
      <c r="C86" s="74">
        <f>C85-C74</f>
        <v>-26749.118999999999</v>
      </c>
      <c r="D86" s="76"/>
      <c r="E86" s="76">
        <f>E85-E74</f>
        <v>-6.9969999999999999</v>
      </c>
      <c r="F86" s="86"/>
      <c r="G86" s="74">
        <f>G85-G74</f>
        <v>-28321.488999999998</v>
      </c>
      <c r="H86" s="76"/>
      <c r="I86" s="76">
        <f>I85-I74</f>
        <v>-7.0909999999999993</v>
      </c>
      <c r="J86" s="86"/>
      <c r="K86" s="74">
        <f>C86+G86</f>
        <v>-55070.607999999993</v>
      </c>
      <c r="L86" s="76"/>
      <c r="M86" s="76">
        <f>M85-M74</f>
        <v>-7.0449999999999999</v>
      </c>
      <c r="N86" s="86"/>
    </row>
    <row r="87" spans="1:14" s="46" customFormat="1" ht="18" customHeight="1">
      <c r="A87" s="72" t="s">
        <v>248</v>
      </c>
      <c r="B87" s="85" t="s">
        <v>285</v>
      </c>
      <c r="C87" s="74">
        <f>'П1.4'!E29</f>
        <v>265.06099999999998</v>
      </c>
      <c r="D87" s="76"/>
      <c r="E87" s="76">
        <f>'П1.5'!E29</f>
        <v>9.0999999999999998E-2</v>
      </c>
      <c r="F87" s="86"/>
      <c r="G87" s="74">
        <f>'П1.4'!J29</f>
        <v>186.95500000000001</v>
      </c>
      <c r="H87" s="76"/>
      <c r="I87" s="76">
        <f>'П1.5'!J29</f>
        <v>6.4000000000000001E-2</v>
      </c>
      <c r="J87" s="86"/>
      <c r="K87" s="74">
        <f>C87+G87</f>
        <v>452.01599999999996</v>
      </c>
      <c r="L87" s="76"/>
      <c r="M87" s="76">
        <f>'П1.5'!O29</f>
        <v>7.8E-2</v>
      </c>
      <c r="N87" s="86"/>
    </row>
    <row r="88" spans="1:14" s="46" customFormat="1" ht="18" customHeight="1">
      <c r="A88" s="88" t="s">
        <v>174</v>
      </c>
      <c r="B88" s="89" t="s">
        <v>175</v>
      </c>
      <c r="C88" s="74"/>
      <c r="D88" s="76"/>
      <c r="E88" s="76"/>
      <c r="F88" s="70"/>
      <c r="G88" s="74"/>
      <c r="H88" s="76"/>
      <c r="I88" s="76"/>
      <c r="J88" s="70"/>
      <c r="K88" s="74"/>
      <c r="L88" s="76"/>
      <c r="M88" s="76"/>
      <c r="N88" s="70"/>
    </row>
    <row r="89" spans="1:14" s="46" customFormat="1" ht="18" customHeight="1">
      <c r="A89" s="88" t="s">
        <v>176</v>
      </c>
      <c r="B89" s="145" t="s">
        <v>149</v>
      </c>
      <c r="C89" s="74">
        <f>C67-C75-C78-C79</f>
        <v>173669.39699999997</v>
      </c>
      <c r="D89" s="76"/>
      <c r="E89" s="76">
        <f>E67-E75-E78-E79</f>
        <v>45.39800000000001</v>
      </c>
      <c r="F89" s="70"/>
      <c r="G89" s="74">
        <f>G67-G75-G78-G79</f>
        <v>170183.75899999999</v>
      </c>
      <c r="H89" s="76"/>
      <c r="I89" s="76">
        <f>I67-I75-I78-I79</f>
        <v>43.665000000000006</v>
      </c>
      <c r="J89" s="70"/>
      <c r="K89" s="74">
        <f>C89+G89</f>
        <v>343853.15599999996</v>
      </c>
      <c r="L89" s="76"/>
      <c r="M89" s="76">
        <f>M67-M75-M78-M79-0.001</f>
        <v>44.53</v>
      </c>
      <c r="N89" s="70"/>
    </row>
    <row r="90" spans="1:14" s="46" customFormat="1" ht="18" customHeight="1">
      <c r="A90" s="88" t="s">
        <v>177</v>
      </c>
      <c r="B90" s="145" t="s">
        <v>151</v>
      </c>
      <c r="C90" s="74"/>
      <c r="D90" s="76"/>
      <c r="E90" s="76"/>
      <c r="F90" s="70"/>
      <c r="G90" s="74"/>
      <c r="H90" s="76"/>
      <c r="I90" s="76"/>
      <c r="J90" s="70"/>
      <c r="K90" s="74"/>
      <c r="L90" s="76"/>
      <c r="M90" s="76"/>
      <c r="N90" s="70"/>
    </row>
    <row r="91" spans="1:14" s="46" customFormat="1" ht="18" customHeight="1">
      <c r="A91" s="88" t="s">
        <v>178</v>
      </c>
      <c r="B91" s="145" t="s">
        <v>153</v>
      </c>
      <c r="C91" s="74"/>
      <c r="D91" s="76"/>
      <c r="E91" s="76"/>
      <c r="F91" s="70"/>
      <c r="G91" s="74"/>
      <c r="H91" s="76"/>
      <c r="I91" s="76"/>
      <c r="J91" s="70"/>
      <c r="K91" s="74"/>
      <c r="L91" s="76"/>
      <c r="M91" s="76"/>
      <c r="N91" s="70"/>
    </row>
    <row r="92" spans="1:14" s="46" customFormat="1" ht="18" customHeight="1">
      <c r="A92" s="88" t="s">
        <v>179</v>
      </c>
      <c r="B92" s="89" t="s">
        <v>180</v>
      </c>
      <c r="C92" s="74">
        <f>'П1.4'!F7</f>
        <v>216110.00799999997</v>
      </c>
      <c r="D92" s="76"/>
      <c r="E92" s="76">
        <f>'П1.5'!F7</f>
        <v>56.333000000000013</v>
      </c>
      <c r="F92" s="70"/>
      <c r="G92" s="74">
        <f>'П1.4'!K7</f>
        <v>209800.64699999997</v>
      </c>
      <c r="H92" s="76"/>
      <c r="I92" s="76">
        <f>'П1.5'!K7</f>
        <v>53.871000000000009</v>
      </c>
      <c r="J92" s="70"/>
      <c r="K92" s="74">
        <f>C92+G92</f>
        <v>425910.65499999991</v>
      </c>
      <c r="L92" s="76"/>
      <c r="M92" s="76">
        <f>'П1.5'!P7</f>
        <v>55.101999999999997</v>
      </c>
      <c r="N92" s="70"/>
    </row>
    <row r="93" spans="1:14" s="46" customFormat="1" ht="18" customHeight="1">
      <c r="A93" s="77"/>
      <c r="B93" s="78" t="s">
        <v>107</v>
      </c>
      <c r="C93" s="79"/>
      <c r="D93" s="82"/>
      <c r="E93" s="82"/>
      <c r="F93" s="81"/>
      <c r="G93" s="79"/>
      <c r="H93" s="82"/>
      <c r="I93" s="82"/>
      <c r="J93" s="81"/>
      <c r="K93" s="79"/>
      <c r="L93" s="82"/>
      <c r="M93" s="82"/>
      <c r="N93" s="81"/>
    </row>
    <row r="94" spans="1:14" s="46" customFormat="1" ht="18" customHeight="1">
      <c r="A94" s="88" t="s">
        <v>181</v>
      </c>
      <c r="B94" s="89" t="s">
        <v>157</v>
      </c>
      <c r="C94" s="74">
        <v>0</v>
      </c>
      <c r="D94" s="76"/>
      <c r="E94" s="76">
        <v>0</v>
      </c>
      <c r="F94" s="70"/>
      <c r="G94" s="74">
        <v>0</v>
      </c>
      <c r="H94" s="76"/>
      <c r="I94" s="76">
        <v>0</v>
      </c>
      <c r="J94" s="70"/>
      <c r="K94" s="74">
        <f>C94+G94</f>
        <v>0</v>
      </c>
      <c r="L94" s="76"/>
      <c r="M94" s="76">
        <v>0</v>
      </c>
      <c r="N94" s="70"/>
    </row>
    <row r="95" spans="1:14" s="46" customFormat="1" ht="18" customHeight="1">
      <c r="A95" s="88" t="s">
        <v>182</v>
      </c>
      <c r="B95" s="89" t="s">
        <v>106</v>
      </c>
      <c r="C95" s="74">
        <f>C92</f>
        <v>216110.00799999997</v>
      </c>
      <c r="D95" s="76"/>
      <c r="E95" s="76">
        <f>E92</f>
        <v>56.333000000000013</v>
      </c>
      <c r="F95" s="70"/>
      <c r="G95" s="74">
        <f>G92</f>
        <v>209800.64699999997</v>
      </c>
      <c r="H95" s="76"/>
      <c r="I95" s="76">
        <f>I92</f>
        <v>53.871000000000009</v>
      </c>
      <c r="J95" s="70"/>
      <c r="K95" s="74">
        <f>C95+G95</f>
        <v>425910.65499999991</v>
      </c>
      <c r="L95" s="76"/>
      <c r="M95" s="76">
        <f>M92</f>
        <v>55.101999999999997</v>
      </c>
      <c r="N95" s="70"/>
    </row>
    <row r="96" spans="1:14" s="46" customFormat="1" ht="18" customHeight="1">
      <c r="A96" s="77"/>
      <c r="B96" s="78" t="s">
        <v>107</v>
      </c>
      <c r="C96" s="79"/>
      <c r="D96" s="82"/>
      <c r="E96" s="82"/>
      <c r="F96" s="81"/>
      <c r="G96" s="79"/>
      <c r="H96" s="82"/>
      <c r="I96" s="82"/>
      <c r="J96" s="81"/>
      <c r="K96" s="79"/>
      <c r="L96" s="82"/>
      <c r="M96" s="82"/>
      <c r="N96" s="81"/>
    </row>
    <row r="97" spans="1:14" s="46" customFormat="1" ht="18" customHeight="1">
      <c r="A97" s="72" t="s">
        <v>183</v>
      </c>
      <c r="B97" s="73" t="str">
        <f>B83</f>
        <v>ПАО "Россети Сибирь"-"Кузбассэнерго-РЭС"</v>
      </c>
      <c r="C97" s="74">
        <f>C95-C98-C100</f>
        <v>42112.814000000013</v>
      </c>
      <c r="D97" s="76"/>
      <c r="E97" s="76">
        <f>E95-E98-E100</f>
        <v>10.850000000000001</v>
      </c>
      <c r="F97" s="70"/>
      <c r="G97" s="74">
        <f>G95-G98-G100</f>
        <v>39344.155999999988</v>
      </c>
      <c r="H97" s="76"/>
      <c r="I97" s="76">
        <f>I95-I98-I100</f>
        <v>10.135000000000005</v>
      </c>
      <c r="J97" s="70"/>
      <c r="K97" s="74">
        <f>C97+G97</f>
        <v>81456.97</v>
      </c>
      <c r="L97" s="76"/>
      <c r="M97" s="76">
        <f>M95-M98-M100-0.001</f>
        <v>10.492999999999993</v>
      </c>
      <c r="N97" s="161"/>
    </row>
    <row r="98" spans="1:14" s="46" customFormat="1" ht="18" customHeight="1">
      <c r="A98" s="72" t="s">
        <v>184</v>
      </c>
      <c r="B98" s="73" t="str">
        <f>B32</f>
        <v>ОАО "РЖД"</v>
      </c>
      <c r="C98" s="74">
        <f>C16</f>
        <v>327.79700000000003</v>
      </c>
      <c r="D98" s="76"/>
      <c r="E98" s="76">
        <f>E16</f>
        <v>8.5000000000000006E-2</v>
      </c>
      <c r="F98" s="70"/>
      <c r="G98" s="74">
        <f>G16</f>
        <v>272.73200000000003</v>
      </c>
      <c r="H98" s="76"/>
      <c r="I98" s="76">
        <f>I16</f>
        <v>7.0999999999999994E-2</v>
      </c>
      <c r="J98" s="70"/>
      <c r="K98" s="74">
        <f>C98+G98</f>
        <v>600.529</v>
      </c>
      <c r="L98" s="76"/>
      <c r="M98" s="76">
        <f>M16</f>
        <v>7.8E-2</v>
      </c>
      <c r="N98" s="70"/>
    </row>
    <row r="99" spans="1:14" s="46" customFormat="1" ht="18" customHeight="1">
      <c r="A99" s="72" t="s">
        <v>185</v>
      </c>
      <c r="B99" s="73" t="str">
        <f>B15</f>
        <v>АО "ЭнергоПаритет"</v>
      </c>
      <c r="C99" s="74">
        <v>0</v>
      </c>
      <c r="D99" s="76"/>
      <c r="E99" s="76">
        <v>0</v>
      </c>
      <c r="F99" s="70"/>
      <c r="G99" s="74">
        <v>0</v>
      </c>
      <c r="H99" s="76"/>
      <c r="I99" s="76">
        <v>0</v>
      </c>
      <c r="J99" s="70"/>
      <c r="K99" s="74">
        <v>0</v>
      </c>
      <c r="L99" s="76"/>
      <c r="M99" s="76">
        <v>0</v>
      </c>
      <c r="N99" s="70"/>
    </row>
    <row r="100" spans="1:14" s="46" customFormat="1" ht="18" customHeight="1">
      <c r="A100" s="72" t="s">
        <v>286</v>
      </c>
      <c r="B100" s="73" t="str">
        <f>B87</f>
        <v>АО "КузбассЭлектро"</v>
      </c>
      <c r="C100" s="74">
        <f>C89</f>
        <v>173669.39699999997</v>
      </c>
      <c r="D100" s="76"/>
      <c r="E100" s="76">
        <f>E89</f>
        <v>45.39800000000001</v>
      </c>
      <c r="F100" s="70"/>
      <c r="G100" s="74">
        <f>G89</f>
        <v>170183.75899999999</v>
      </c>
      <c r="H100" s="76"/>
      <c r="I100" s="76">
        <f>I89</f>
        <v>43.665000000000006</v>
      </c>
      <c r="J100" s="70"/>
      <c r="K100" s="74">
        <f>C100+G100</f>
        <v>343853.15599999996</v>
      </c>
      <c r="L100" s="76"/>
      <c r="M100" s="76">
        <f>M89</f>
        <v>44.53</v>
      </c>
      <c r="N100" s="70"/>
    </row>
    <row r="101" spans="1:14" s="46" customFormat="1" ht="18" customHeight="1">
      <c r="A101" s="88" t="s">
        <v>186</v>
      </c>
      <c r="B101" s="89" t="s">
        <v>134</v>
      </c>
      <c r="C101" s="74">
        <f>'П1.4'!F22</f>
        <v>2883.826</v>
      </c>
      <c r="D101" s="76"/>
      <c r="E101" s="76">
        <f>'П1.5'!F22</f>
        <v>0.75</v>
      </c>
      <c r="F101" s="70"/>
      <c r="G101" s="74">
        <f>'П1.4'!K22</f>
        <v>2704.422</v>
      </c>
      <c r="H101" s="76"/>
      <c r="I101" s="76">
        <f>'П1.5'!K22</f>
        <v>0.69399999999999995</v>
      </c>
      <c r="J101" s="70"/>
      <c r="K101" s="74">
        <f>C101+G101</f>
        <v>5588.2479999999996</v>
      </c>
      <c r="L101" s="76"/>
      <c r="M101" s="76">
        <f>'П1.5'!P22</f>
        <v>0.72199999999999998</v>
      </c>
      <c r="N101" s="70"/>
    </row>
    <row r="102" spans="1:14" s="46" customFormat="1" ht="18" customHeight="1">
      <c r="A102" s="88" t="s">
        <v>187</v>
      </c>
      <c r="B102" s="89" t="s">
        <v>136</v>
      </c>
      <c r="C102" s="74">
        <f>'П1.4'!F30</f>
        <v>190302.47499999998</v>
      </c>
      <c r="D102" s="76"/>
      <c r="E102" s="76">
        <f>'П1.5'!F30</f>
        <v>48.7</v>
      </c>
      <c r="F102" s="70"/>
      <c r="G102" s="74">
        <f>'П1.4'!K30</f>
        <v>185971.41</v>
      </c>
      <c r="H102" s="76"/>
      <c r="I102" s="76">
        <f>'П1.5'!K30</f>
        <v>47.36</v>
      </c>
      <c r="J102" s="70"/>
      <c r="K102" s="74">
        <f>C102+G102</f>
        <v>376273.88500000001</v>
      </c>
      <c r="L102" s="76"/>
      <c r="M102" s="76">
        <f>'П1.5'!P30</f>
        <v>48.03</v>
      </c>
      <c r="N102" s="70"/>
    </row>
    <row r="103" spans="1:14" s="46" customFormat="1" ht="18" customHeight="1">
      <c r="A103" s="77"/>
      <c r="B103" s="78" t="s">
        <v>114</v>
      </c>
      <c r="C103" s="79"/>
      <c r="D103" s="82"/>
      <c r="E103" s="82"/>
      <c r="F103" s="81"/>
      <c r="G103" s="79"/>
      <c r="H103" s="82"/>
      <c r="I103" s="82"/>
      <c r="J103" s="81"/>
      <c r="K103" s="79"/>
      <c r="L103" s="82"/>
      <c r="M103" s="82"/>
      <c r="N103" s="81"/>
    </row>
    <row r="104" spans="1:14" s="46" customFormat="1" ht="18" customHeight="1">
      <c r="A104" s="88" t="s">
        <v>287</v>
      </c>
      <c r="B104" s="89" t="s">
        <v>116</v>
      </c>
      <c r="C104" s="74">
        <f>'П1.4'!F33</f>
        <v>155970.48199999999</v>
      </c>
      <c r="D104" s="76"/>
      <c r="E104" s="76">
        <f>'П1.5'!F33</f>
        <v>39.194000000000003</v>
      </c>
      <c r="F104" s="70"/>
      <c r="G104" s="74">
        <f>'П1.4'!K33</f>
        <v>151848.41800000001</v>
      </c>
      <c r="H104" s="76"/>
      <c r="I104" s="76">
        <f>'П1.5'!K33</f>
        <v>38.045999999999999</v>
      </c>
      <c r="J104" s="70"/>
      <c r="K104" s="74">
        <f>C104+G104</f>
        <v>307818.90000000002</v>
      </c>
      <c r="L104" s="76"/>
      <c r="M104" s="76">
        <f>'П1.5'!P33</f>
        <v>38.619999999999997</v>
      </c>
      <c r="N104" s="70"/>
    </row>
    <row r="105" spans="1:14" s="46" customFormat="1" ht="18" customHeight="1">
      <c r="A105" s="88" t="s">
        <v>188</v>
      </c>
      <c r="B105" s="89" t="s">
        <v>118</v>
      </c>
      <c r="C105" s="74">
        <f>'П1.4'!F35</f>
        <v>34331.993000000002</v>
      </c>
      <c r="D105" s="76"/>
      <c r="E105" s="76">
        <f>'П1.5'!F36</f>
        <v>9.5060000000000002</v>
      </c>
      <c r="F105" s="70"/>
      <c r="G105" s="74">
        <f>'П1.4'!K35</f>
        <v>34122.991999999998</v>
      </c>
      <c r="H105" s="76"/>
      <c r="I105" s="76">
        <f>'П1.5'!K36</f>
        <v>9.3140000000000001</v>
      </c>
      <c r="J105" s="70"/>
      <c r="K105" s="74">
        <f>C105+G105</f>
        <v>68454.985000000001</v>
      </c>
      <c r="L105" s="76"/>
      <c r="M105" s="76">
        <f>'П1.5'!P36</f>
        <v>9.41</v>
      </c>
      <c r="N105" s="70"/>
    </row>
    <row r="106" spans="1:14" s="46" customFormat="1" ht="18" customHeight="1">
      <c r="A106" s="77"/>
      <c r="B106" s="78" t="s">
        <v>119</v>
      </c>
      <c r="C106" s="79"/>
      <c r="D106" s="82"/>
      <c r="E106" s="82"/>
      <c r="F106" s="81"/>
      <c r="G106" s="79"/>
      <c r="H106" s="82"/>
      <c r="I106" s="82"/>
      <c r="J106" s="81"/>
      <c r="K106" s="79"/>
      <c r="L106" s="82"/>
      <c r="M106" s="82"/>
      <c r="N106" s="81"/>
    </row>
    <row r="107" spans="1:14" s="46" customFormat="1" ht="18" customHeight="1">
      <c r="A107" s="72" t="s">
        <v>288</v>
      </c>
      <c r="B107" s="73" t="str">
        <f>B97</f>
        <v>ПАО "Россети Сибирь"-"Кузбассэнерго-РЭС"</v>
      </c>
      <c r="C107" s="74">
        <f>'П1.6'!E39</f>
        <v>0</v>
      </c>
      <c r="D107" s="76"/>
      <c r="E107" s="76">
        <f>'П1.6'!J39</f>
        <v>0</v>
      </c>
      <c r="F107" s="70"/>
      <c r="G107" s="74">
        <f>'П1.6'!E83</f>
        <v>0</v>
      </c>
      <c r="H107" s="76"/>
      <c r="I107" s="76">
        <f>'П1.6'!J83</f>
        <v>0</v>
      </c>
      <c r="J107" s="70"/>
      <c r="K107" s="74">
        <f t="shared" ref="K107:K113" si="1">C107+G107</f>
        <v>0</v>
      </c>
      <c r="L107" s="76"/>
      <c r="M107" s="76">
        <f>'П1.6'!J127</f>
        <v>0</v>
      </c>
      <c r="N107" s="70"/>
    </row>
    <row r="108" spans="1:14" s="46" customFormat="1" ht="18" customHeight="1">
      <c r="A108" s="72" t="s">
        <v>289</v>
      </c>
      <c r="B108" s="73" t="s">
        <v>296</v>
      </c>
      <c r="C108" s="74">
        <f>C107-C97</f>
        <v>-42112.814000000013</v>
      </c>
      <c r="D108" s="76"/>
      <c r="E108" s="76">
        <f>E107-E97</f>
        <v>-10.850000000000001</v>
      </c>
      <c r="F108" s="86"/>
      <c r="G108" s="74">
        <f>G107-G97</f>
        <v>-39344.155999999988</v>
      </c>
      <c r="H108" s="76"/>
      <c r="I108" s="76">
        <f>I107-I97</f>
        <v>-10.135000000000005</v>
      </c>
      <c r="J108" s="86"/>
      <c r="K108" s="74">
        <f t="shared" si="1"/>
        <v>-81456.97</v>
      </c>
      <c r="L108" s="76"/>
      <c r="M108" s="76">
        <f>M107-M97</f>
        <v>-10.492999999999993</v>
      </c>
      <c r="N108" s="86"/>
    </row>
    <row r="109" spans="1:14" s="46" customFormat="1" ht="18" customHeight="1">
      <c r="A109" s="72" t="s">
        <v>290</v>
      </c>
      <c r="B109" s="73" t="str">
        <f>B98</f>
        <v>ОАО "РЖД"</v>
      </c>
      <c r="C109" s="74">
        <v>0</v>
      </c>
      <c r="D109" s="76"/>
      <c r="E109" s="76">
        <v>0</v>
      </c>
      <c r="F109" s="86"/>
      <c r="G109" s="74">
        <v>0</v>
      </c>
      <c r="H109" s="76"/>
      <c r="I109" s="76">
        <v>0</v>
      </c>
      <c r="J109" s="86"/>
      <c r="K109" s="74">
        <f t="shared" si="1"/>
        <v>0</v>
      </c>
      <c r="L109" s="76"/>
      <c r="M109" s="76">
        <v>0</v>
      </c>
      <c r="N109" s="86"/>
    </row>
    <row r="110" spans="1:14" s="46" customFormat="1" ht="18" customHeight="1">
      <c r="A110" s="72" t="s">
        <v>291</v>
      </c>
      <c r="B110" s="73" t="s">
        <v>297</v>
      </c>
      <c r="C110" s="74">
        <f>C109-C98</f>
        <v>-327.79700000000003</v>
      </c>
      <c r="D110" s="76"/>
      <c r="E110" s="76">
        <f>E109-E98</f>
        <v>-8.5000000000000006E-2</v>
      </c>
      <c r="F110" s="86"/>
      <c r="G110" s="74">
        <f>G109-G98</f>
        <v>-272.73200000000003</v>
      </c>
      <c r="H110" s="76"/>
      <c r="I110" s="76">
        <f>I109-I98</f>
        <v>-7.0999999999999994E-2</v>
      </c>
      <c r="J110" s="86"/>
      <c r="K110" s="74">
        <f t="shared" si="1"/>
        <v>-600.529</v>
      </c>
      <c r="L110" s="76"/>
      <c r="M110" s="76">
        <f>M109-M98</f>
        <v>-7.8E-2</v>
      </c>
      <c r="N110" s="86"/>
    </row>
    <row r="111" spans="1:14" s="46" customFormat="1" ht="18" customHeight="1">
      <c r="A111" s="72" t="s">
        <v>292</v>
      </c>
      <c r="B111" s="73" t="str">
        <f>B34</f>
        <v>ООО "КЭнК"</v>
      </c>
      <c r="C111" s="74">
        <f>'П1.6'!E41</f>
        <v>31213.704000000002</v>
      </c>
      <c r="D111" s="76"/>
      <c r="E111" s="76">
        <f>'П1.6'!J41</f>
        <v>8.6549999999999994</v>
      </c>
      <c r="F111" s="86"/>
      <c r="G111" s="74">
        <f>'П1.6'!E85</f>
        <v>30009.960999999999</v>
      </c>
      <c r="H111" s="76"/>
      <c r="I111" s="76">
        <f>'П1.6'!J85</f>
        <v>8.1920000000000002</v>
      </c>
      <c r="J111" s="86"/>
      <c r="K111" s="74">
        <f t="shared" si="1"/>
        <v>61223.665000000001</v>
      </c>
      <c r="L111" s="76"/>
      <c r="M111" s="76">
        <f>'П1.6'!J129</f>
        <v>8.4239999999999995</v>
      </c>
      <c r="N111" s="86"/>
    </row>
    <row r="112" spans="1:14" s="46" customFormat="1" ht="18" customHeight="1">
      <c r="A112" s="72" t="s">
        <v>293</v>
      </c>
      <c r="B112" s="73" t="str">
        <f>B35</f>
        <v>ООО "СКЭК"</v>
      </c>
      <c r="C112" s="74">
        <f>C35</f>
        <v>3092.4479999999999</v>
      </c>
      <c r="D112" s="76"/>
      <c r="E112" s="76">
        <f>E35</f>
        <v>0.84399999999999997</v>
      </c>
      <c r="F112" s="86"/>
      <c r="G112" s="74">
        <f>'П1.6'!C87</f>
        <v>4093.5790000000002</v>
      </c>
      <c r="H112" s="76"/>
      <c r="I112" s="76">
        <f>I35</f>
        <v>1.117</v>
      </c>
      <c r="J112" s="86"/>
      <c r="K112" s="74">
        <f t="shared" si="1"/>
        <v>7186.027</v>
      </c>
      <c r="L112" s="76"/>
      <c r="M112" s="76">
        <f>M35</f>
        <v>0.98</v>
      </c>
      <c r="N112" s="86"/>
    </row>
    <row r="113" spans="1:14" s="46" customFormat="1" ht="18" customHeight="1">
      <c r="A113" s="72" t="s">
        <v>294</v>
      </c>
      <c r="B113" s="73" t="str">
        <f>B30</f>
        <v>АО "ЭнергоПаритет"</v>
      </c>
      <c r="C113" s="74">
        <f>'П1.6'!E40</f>
        <v>25.841000000000001</v>
      </c>
      <c r="D113" s="76"/>
      <c r="E113" s="76">
        <f>'П1.6'!J40</f>
        <v>7.0000000000000001E-3</v>
      </c>
      <c r="F113" s="86"/>
      <c r="G113" s="74">
        <f>'П1.6'!E84</f>
        <v>19.452000000000002</v>
      </c>
      <c r="H113" s="76"/>
      <c r="I113" s="76">
        <f>'П1.6'!J84</f>
        <v>5.0000000000000001E-3</v>
      </c>
      <c r="J113" s="86"/>
      <c r="K113" s="74">
        <f t="shared" si="1"/>
        <v>45.293000000000006</v>
      </c>
      <c r="L113" s="76"/>
      <c r="M113" s="76">
        <f>'П1.6'!J128</f>
        <v>6.0000000000000001E-3</v>
      </c>
      <c r="N113" s="86"/>
    </row>
    <row r="114" spans="1:14" s="46" customFormat="1" ht="18" customHeight="1">
      <c r="A114" s="72" t="s">
        <v>295</v>
      </c>
      <c r="B114" s="85" t="s">
        <v>298</v>
      </c>
      <c r="C114" s="74"/>
      <c r="D114" s="76"/>
      <c r="E114" s="76"/>
      <c r="F114" s="86"/>
      <c r="G114" s="74"/>
      <c r="H114" s="76"/>
      <c r="I114" s="76"/>
      <c r="J114" s="86"/>
      <c r="K114" s="74"/>
      <c r="L114" s="76"/>
      <c r="M114" s="76"/>
      <c r="N114" s="86"/>
    </row>
    <row r="115" spans="1:14" s="46" customFormat="1" ht="18" customHeight="1">
      <c r="A115" s="88" t="s">
        <v>189</v>
      </c>
      <c r="B115" s="89" t="s">
        <v>190</v>
      </c>
      <c r="C115" s="74"/>
      <c r="D115" s="76"/>
      <c r="E115" s="76"/>
      <c r="F115" s="70"/>
      <c r="G115" s="74"/>
      <c r="H115" s="76"/>
      <c r="I115" s="76"/>
      <c r="J115" s="70"/>
      <c r="K115" s="74"/>
      <c r="L115" s="76"/>
      <c r="M115" s="76"/>
      <c r="N115" s="70"/>
    </row>
    <row r="116" spans="1:14" s="46" customFormat="1" ht="18" customHeight="1">
      <c r="A116" s="88" t="s">
        <v>191</v>
      </c>
      <c r="B116" s="145" t="s">
        <v>151</v>
      </c>
      <c r="C116" s="74">
        <f>C92-C102-C101</f>
        <v>22923.706999999995</v>
      </c>
      <c r="D116" s="76"/>
      <c r="E116" s="76">
        <f>E92-E102-E101</f>
        <v>6.8830000000000098</v>
      </c>
      <c r="F116" s="70"/>
      <c r="G116" s="74">
        <f>G92-G102-G101</f>
        <v>21124.814999999966</v>
      </c>
      <c r="H116" s="76"/>
      <c r="I116" s="76">
        <f>I92-I102-I101</f>
        <v>5.8170000000000099</v>
      </c>
      <c r="J116" s="70"/>
      <c r="K116" s="74">
        <f>C116+G116</f>
        <v>44048.521999999961</v>
      </c>
      <c r="L116" s="76"/>
      <c r="M116" s="76">
        <f>M92-M102-M101</f>
        <v>6.3499999999999961</v>
      </c>
      <c r="N116" s="70"/>
    </row>
    <row r="117" spans="1:14" s="46" customFormat="1" ht="18" customHeight="1">
      <c r="A117" s="88" t="s">
        <v>192</v>
      </c>
      <c r="B117" s="145" t="s">
        <v>153</v>
      </c>
      <c r="C117" s="74"/>
      <c r="D117" s="76"/>
      <c r="E117" s="76"/>
      <c r="F117" s="70"/>
      <c r="G117" s="74"/>
      <c r="H117" s="76"/>
      <c r="I117" s="76"/>
      <c r="J117" s="70"/>
      <c r="K117" s="74"/>
      <c r="L117" s="76"/>
      <c r="M117" s="76"/>
      <c r="N117" s="70"/>
    </row>
    <row r="118" spans="1:14" s="46" customFormat="1" ht="18" customHeight="1">
      <c r="A118" s="88" t="s">
        <v>193</v>
      </c>
      <c r="B118" s="89" t="s">
        <v>194</v>
      </c>
      <c r="C118" s="74">
        <f>'П1.4'!G7</f>
        <v>24926.444999999982</v>
      </c>
      <c r="D118" s="76"/>
      <c r="E118" s="76">
        <f>'П1.5'!G7</f>
        <v>7.4140000000000095</v>
      </c>
      <c r="F118" s="70"/>
      <c r="G118" s="74">
        <f>'П1.4'!L7</f>
        <v>22918.868999999973</v>
      </c>
      <c r="H118" s="76"/>
      <c r="I118" s="76">
        <f>'П1.5'!L7</f>
        <v>6.2830000000000075</v>
      </c>
      <c r="J118" s="70"/>
      <c r="K118" s="74">
        <f>C118+G118</f>
        <v>47845.313999999955</v>
      </c>
      <c r="L118" s="76"/>
      <c r="M118" s="76">
        <f>'П1.5'!Q7-0.001</f>
        <v>6.8469999999999995</v>
      </c>
      <c r="N118" s="70"/>
    </row>
    <row r="119" spans="1:14" s="46" customFormat="1" ht="18" customHeight="1">
      <c r="A119" s="77"/>
      <c r="B119" s="78" t="s">
        <v>107</v>
      </c>
      <c r="C119" s="79"/>
      <c r="D119" s="82"/>
      <c r="E119" s="82"/>
      <c r="F119" s="81"/>
      <c r="G119" s="79"/>
      <c r="H119" s="82"/>
      <c r="I119" s="82"/>
      <c r="J119" s="81"/>
      <c r="K119" s="79"/>
      <c r="L119" s="82"/>
      <c r="M119" s="82"/>
      <c r="N119" s="81"/>
    </row>
    <row r="120" spans="1:14" s="46" customFormat="1" ht="18" customHeight="1">
      <c r="A120" s="88" t="s">
        <v>195</v>
      </c>
      <c r="B120" s="89" t="s">
        <v>157</v>
      </c>
      <c r="C120" s="74">
        <v>0</v>
      </c>
      <c r="D120" s="76"/>
      <c r="E120" s="76">
        <v>0</v>
      </c>
      <c r="F120" s="70"/>
      <c r="G120" s="74">
        <v>0</v>
      </c>
      <c r="H120" s="76"/>
      <c r="I120" s="76">
        <v>0</v>
      </c>
      <c r="J120" s="70"/>
      <c r="K120" s="74">
        <f>C120+G120</f>
        <v>0</v>
      </c>
      <c r="L120" s="76"/>
      <c r="M120" s="76">
        <v>0</v>
      </c>
      <c r="N120" s="70"/>
    </row>
    <row r="121" spans="1:14" s="46" customFormat="1" ht="18" customHeight="1">
      <c r="A121" s="88" t="s">
        <v>196</v>
      </c>
      <c r="B121" s="89" t="s">
        <v>106</v>
      </c>
      <c r="C121" s="74">
        <f>C118</f>
        <v>24926.444999999982</v>
      </c>
      <c r="D121" s="76"/>
      <c r="E121" s="76">
        <f>E118</f>
        <v>7.4140000000000095</v>
      </c>
      <c r="F121" s="70"/>
      <c r="G121" s="74">
        <f>G118</f>
        <v>22918.868999999973</v>
      </c>
      <c r="H121" s="76"/>
      <c r="I121" s="76">
        <f>I118</f>
        <v>6.2830000000000075</v>
      </c>
      <c r="J121" s="70"/>
      <c r="K121" s="74">
        <f>C121+G121</f>
        <v>47845.313999999955</v>
      </c>
      <c r="L121" s="76"/>
      <c r="M121" s="76">
        <f>M118</f>
        <v>6.8469999999999995</v>
      </c>
      <c r="N121" s="70"/>
    </row>
    <row r="122" spans="1:14" s="46" customFormat="1" ht="18" customHeight="1">
      <c r="A122" s="77"/>
      <c r="B122" s="78" t="s">
        <v>107</v>
      </c>
      <c r="C122" s="79"/>
      <c r="D122" s="82"/>
      <c r="E122" s="82"/>
      <c r="F122" s="81"/>
      <c r="G122" s="79"/>
      <c r="H122" s="82"/>
      <c r="I122" s="82"/>
      <c r="J122" s="81"/>
      <c r="K122" s="79"/>
      <c r="L122" s="82"/>
      <c r="M122" s="82"/>
      <c r="N122" s="81"/>
    </row>
    <row r="123" spans="1:14" s="46" customFormat="1" ht="18" customHeight="1">
      <c r="A123" s="72" t="s">
        <v>197</v>
      </c>
      <c r="B123" s="73" t="str">
        <f>B107</f>
        <v>ПАО "Россети Сибирь"-"Кузбассэнерго-РЭС"</v>
      </c>
      <c r="C123" s="74">
        <f>C121-C124-C125</f>
        <v>1573.3629999999866</v>
      </c>
      <c r="D123" s="76"/>
      <c r="E123" s="76">
        <f>E121-E124-E125</f>
        <v>0.41699999999999982</v>
      </c>
      <c r="F123" s="70"/>
      <c r="G123" s="74">
        <f>G121-G124-G125</f>
        <v>1430.8240000000078</v>
      </c>
      <c r="H123" s="76"/>
      <c r="I123" s="76">
        <f>I121-I124-I125</f>
        <v>0.37099999999999778</v>
      </c>
      <c r="J123" s="70"/>
      <c r="K123" s="74">
        <f>C123+G123</f>
        <v>3004.1869999999944</v>
      </c>
      <c r="L123" s="76"/>
      <c r="M123" s="76">
        <f>M121-M124-M125</f>
        <v>0.39350000000000307</v>
      </c>
      <c r="N123" s="161"/>
    </row>
    <row r="124" spans="1:14" s="46" customFormat="1" ht="18" customHeight="1">
      <c r="A124" s="72" t="s">
        <v>198</v>
      </c>
      <c r="B124" s="73" t="str">
        <f>B30</f>
        <v>АО "ЭнергоПаритет"</v>
      </c>
      <c r="C124" s="74">
        <f>C15</f>
        <v>429.375</v>
      </c>
      <c r="D124" s="76"/>
      <c r="E124" s="76">
        <f>E15</f>
        <v>0.114</v>
      </c>
      <c r="F124" s="70"/>
      <c r="G124" s="74">
        <f>G15</f>
        <v>363.23</v>
      </c>
      <c r="H124" s="76"/>
      <c r="I124" s="76">
        <f>I15</f>
        <v>9.5000000000000001E-2</v>
      </c>
      <c r="J124" s="70"/>
      <c r="K124" s="74">
        <f>C124+G124</f>
        <v>792.60500000000002</v>
      </c>
      <c r="L124" s="76"/>
      <c r="M124" s="76">
        <f>M15</f>
        <v>0.10350000000000001</v>
      </c>
      <c r="N124" s="70"/>
    </row>
    <row r="125" spans="1:14" s="46" customFormat="1" ht="18" customHeight="1">
      <c r="A125" s="72" t="s">
        <v>199</v>
      </c>
      <c r="B125" s="73" t="str">
        <f>B100</f>
        <v>АО "КузбассЭлектро"</v>
      </c>
      <c r="C125" s="74">
        <f>C116</f>
        <v>22923.706999999995</v>
      </c>
      <c r="D125" s="76"/>
      <c r="E125" s="76">
        <f>E116</f>
        <v>6.8830000000000098</v>
      </c>
      <c r="F125" s="70"/>
      <c r="G125" s="74">
        <f>G116</f>
        <v>21124.814999999966</v>
      </c>
      <c r="H125" s="76"/>
      <c r="I125" s="76">
        <f>I116</f>
        <v>5.8170000000000099</v>
      </c>
      <c r="J125" s="70"/>
      <c r="K125" s="74">
        <f>C125+G125</f>
        <v>44048.521999999961</v>
      </c>
      <c r="L125" s="76"/>
      <c r="M125" s="76">
        <f>M116</f>
        <v>6.3499999999999961</v>
      </c>
      <c r="N125" s="70"/>
    </row>
    <row r="126" spans="1:14" s="46" customFormat="1" ht="18" customHeight="1">
      <c r="A126" s="88" t="s">
        <v>200</v>
      </c>
      <c r="B126" s="89" t="s">
        <v>134</v>
      </c>
      <c r="C126" s="74">
        <f>'П1.4'!G22</f>
        <v>182.44499999999999</v>
      </c>
      <c r="D126" s="76"/>
      <c r="E126" s="76">
        <f>'П1.5'!G22</f>
        <v>5.1999999999999998E-2</v>
      </c>
      <c r="F126" s="70"/>
      <c r="G126" s="74">
        <f>'П1.4'!L22</f>
        <v>131.018</v>
      </c>
      <c r="H126" s="76"/>
      <c r="I126" s="76">
        <f>'П1.5'!L22</f>
        <v>3.5000000000000003E-2</v>
      </c>
      <c r="J126" s="70"/>
      <c r="K126" s="74">
        <f>C126+G126</f>
        <v>313.46299999999997</v>
      </c>
      <c r="L126" s="76"/>
      <c r="M126" s="76">
        <f>'П1.5'!Q22-0.001</f>
        <v>4.1999999999999996E-2</v>
      </c>
      <c r="N126" s="70"/>
    </row>
    <row r="127" spans="1:14" s="46" customFormat="1" ht="18" customHeight="1">
      <c r="A127" s="88" t="s">
        <v>201</v>
      </c>
      <c r="B127" s="89" t="s">
        <v>136</v>
      </c>
      <c r="C127" s="74">
        <f>'П1.4'!G30+'П1.4'!G29</f>
        <v>24711.322</v>
      </c>
      <c r="D127" s="76"/>
      <c r="E127" s="76">
        <f>'П1.5'!G30+'П1.5'!G29</f>
        <v>7.3520000000000003</v>
      </c>
      <c r="F127" s="70"/>
      <c r="G127" s="74">
        <f>'П1.4'!L29+'П1.4'!L30</f>
        <v>22752.032000000003</v>
      </c>
      <c r="H127" s="76"/>
      <c r="I127" s="76">
        <f>'П1.5'!L29+'П1.5'!L30</f>
        <v>6.2379999999999995</v>
      </c>
      <c r="J127" s="70"/>
      <c r="K127" s="74">
        <f>C127+G127</f>
        <v>47463.354000000007</v>
      </c>
      <c r="L127" s="76"/>
      <c r="M127" s="76">
        <f>'П1.5'!Q29+'П1.5'!Q30</f>
        <v>6.7949999999999999</v>
      </c>
      <c r="N127" s="70"/>
    </row>
    <row r="128" spans="1:14" s="46" customFormat="1" ht="18" customHeight="1">
      <c r="A128" s="77"/>
      <c r="B128" s="78" t="s">
        <v>114</v>
      </c>
      <c r="C128" s="79"/>
      <c r="D128" s="82"/>
      <c r="E128" s="82"/>
      <c r="F128" s="81"/>
      <c r="G128" s="79"/>
      <c r="H128" s="82"/>
      <c r="I128" s="82"/>
      <c r="J128" s="81"/>
      <c r="K128" s="80"/>
      <c r="L128" s="82"/>
      <c r="M128" s="82"/>
      <c r="N128" s="81"/>
    </row>
    <row r="129" spans="1:14" s="46" customFormat="1" ht="18" customHeight="1">
      <c r="A129" s="88" t="s">
        <v>202</v>
      </c>
      <c r="B129" s="89" t="s">
        <v>116</v>
      </c>
      <c r="C129" s="74">
        <f>'П1.4'!G33</f>
        <v>24280.616999999998</v>
      </c>
      <c r="D129" s="76"/>
      <c r="E129" s="76">
        <f>'П1.5'!G33</f>
        <v>7.226</v>
      </c>
      <c r="F129" s="70"/>
      <c r="G129" s="74">
        <f>'П1.4'!L33</f>
        <v>22295.205000000002</v>
      </c>
      <c r="H129" s="76"/>
      <c r="I129" s="76">
        <f>'П1.5'!L33</f>
        <v>6.1079999999999997</v>
      </c>
      <c r="J129" s="70"/>
      <c r="K129" s="74">
        <f>C129+G129</f>
        <v>46575.822</v>
      </c>
      <c r="L129" s="76"/>
      <c r="M129" s="76">
        <f>'П1.5'!Q33</f>
        <v>6.6669999999999998</v>
      </c>
      <c r="N129" s="70"/>
    </row>
    <row r="130" spans="1:14" s="46" customFormat="1" ht="18" customHeight="1">
      <c r="A130" s="88" t="s">
        <v>203</v>
      </c>
      <c r="B130" s="89" t="s">
        <v>118</v>
      </c>
      <c r="C130" s="74">
        <f>C127-C129</f>
        <v>430.70500000000175</v>
      </c>
      <c r="D130" s="76"/>
      <c r="E130" s="76">
        <f>'П1.5'!G36+'П1.5'!G29</f>
        <v>0.126</v>
      </c>
      <c r="F130" s="70"/>
      <c r="G130" s="74">
        <f>G127-G129</f>
        <v>456.82700000000114</v>
      </c>
      <c r="H130" s="76"/>
      <c r="I130" s="76">
        <f>'П1.5'!L36+'П1.5'!L29</f>
        <v>0.13</v>
      </c>
      <c r="J130" s="70"/>
      <c r="K130" s="74">
        <f>K127-K129</f>
        <v>887.53200000000652</v>
      </c>
      <c r="L130" s="76"/>
      <c r="M130" s="76">
        <f>'П1.5'!Q36+'П1.5'!Q29</f>
        <v>0.128</v>
      </c>
      <c r="N130" s="70"/>
    </row>
    <row r="131" spans="1:14" s="46" customFormat="1" ht="18" customHeight="1">
      <c r="A131" s="77"/>
      <c r="B131" s="78" t="s">
        <v>119</v>
      </c>
      <c r="C131" s="79"/>
      <c r="D131" s="82"/>
      <c r="E131" s="82"/>
      <c r="F131" s="81"/>
      <c r="G131" s="79"/>
      <c r="H131" s="82"/>
      <c r="I131" s="82"/>
      <c r="J131" s="81"/>
      <c r="K131" s="79"/>
      <c r="L131" s="82"/>
      <c r="M131" s="82"/>
      <c r="N131" s="81"/>
    </row>
    <row r="132" spans="1:14" s="46" customFormat="1" ht="18" customHeight="1">
      <c r="A132" s="72" t="s">
        <v>204</v>
      </c>
      <c r="B132" s="73" t="str">
        <f>B123</f>
        <v>ПАО "Россети Сибирь"-"Кузбассэнерго-РЭС"</v>
      </c>
      <c r="C132" s="74">
        <f>C26</f>
        <v>71.724999999999994</v>
      </c>
      <c r="D132" s="76"/>
      <c r="E132" s="76">
        <f>E26</f>
        <v>1.7999999999999999E-2</v>
      </c>
      <c r="F132" s="86"/>
      <c r="G132" s="74">
        <f>G26</f>
        <v>54.142000000000003</v>
      </c>
      <c r="H132" s="76"/>
      <c r="I132" s="76">
        <f>I26</f>
        <v>1.4E-2</v>
      </c>
      <c r="J132" s="86"/>
      <c r="K132" s="74">
        <f>K26</f>
        <v>125.86699999999999</v>
      </c>
      <c r="L132" s="76"/>
      <c r="M132" s="76">
        <f>M26</f>
        <v>1.6E-2</v>
      </c>
      <c r="N132" s="86"/>
    </row>
    <row r="133" spans="1:14" s="46" customFormat="1" ht="18" customHeight="1">
      <c r="A133" s="72" t="s">
        <v>205</v>
      </c>
      <c r="B133" s="73" t="s">
        <v>299</v>
      </c>
      <c r="C133" s="74">
        <f>C132-C123</f>
        <v>-1501.6379999999867</v>
      </c>
      <c r="D133" s="76"/>
      <c r="E133" s="76">
        <f>E132-E123</f>
        <v>-0.3989999999999998</v>
      </c>
      <c r="F133" s="86"/>
      <c r="G133" s="74">
        <f>G132-G123</f>
        <v>-1376.6820000000077</v>
      </c>
      <c r="H133" s="76"/>
      <c r="I133" s="76">
        <f>I132-I123</f>
        <v>-0.35699999999999776</v>
      </c>
      <c r="J133" s="86"/>
      <c r="K133" s="74">
        <f>C133+G133</f>
        <v>-2878.3199999999943</v>
      </c>
      <c r="L133" s="76"/>
      <c r="M133" s="76">
        <f>M132-M123</f>
        <v>-0.37750000000000306</v>
      </c>
      <c r="N133" s="86"/>
    </row>
    <row r="134" spans="1:14" s="46" customFormat="1" ht="18" customHeight="1">
      <c r="A134" s="72" t="s">
        <v>206</v>
      </c>
      <c r="B134" s="73" t="str">
        <f>B124</f>
        <v>АО "ЭнергоПаритет"</v>
      </c>
      <c r="C134" s="74">
        <f>'П1.6'!F40</f>
        <v>121.959</v>
      </c>
      <c r="D134" s="76"/>
      <c r="E134" s="76">
        <f>'П1.6'!K40</f>
        <v>3.1E-2</v>
      </c>
      <c r="F134" s="86"/>
      <c r="G134" s="74">
        <f>'П1.6'!F84</f>
        <v>159.5</v>
      </c>
      <c r="H134" s="76"/>
      <c r="I134" s="76">
        <f>'П1.6'!K84</f>
        <v>0.04</v>
      </c>
      <c r="J134" s="86"/>
      <c r="K134" s="74">
        <f>C134+G134</f>
        <v>281.459</v>
      </c>
      <c r="L134" s="76"/>
      <c r="M134" s="76">
        <f>'П1.6'!K128</f>
        <v>3.5499999999999997E-2</v>
      </c>
      <c r="N134" s="86"/>
    </row>
    <row r="135" spans="1:14" s="46" customFormat="1" ht="18" customHeight="1">
      <c r="A135" s="72" t="s">
        <v>207</v>
      </c>
      <c r="B135" s="73" t="s">
        <v>300</v>
      </c>
      <c r="C135" s="74">
        <f>C134-C124</f>
        <v>-307.416</v>
      </c>
      <c r="D135" s="76"/>
      <c r="E135" s="76">
        <f>E134-E124</f>
        <v>-8.3000000000000004E-2</v>
      </c>
      <c r="F135" s="86"/>
      <c r="G135" s="74">
        <f>G134-G124</f>
        <v>-203.73000000000002</v>
      </c>
      <c r="H135" s="76"/>
      <c r="I135" s="76">
        <f>I134-I124</f>
        <v>-5.5E-2</v>
      </c>
      <c r="J135" s="86"/>
      <c r="K135" s="74">
        <f>C135+G135</f>
        <v>-511.14600000000002</v>
      </c>
      <c r="L135" s="76"/>
      <c r="M135" s="76">
        <f>M134-M124</f>
        <v>-6.8000000000000005E-2</v>
      </c>
      <c r="N135" s="86"/>
    </row>
    <row r="136" spans="1:14" s="46" customFormat="1" ht="18" customHeight="1">
      <c r="A136" s="72" t="s">
        <v>208</v>
      </c>
      <c r="B136" s="85" t="str">
        <f>B111</f>
        <v>ООО "КЭнК"</v>
      </c>
      <c r="C136" s="162">
        <f>'П1.6'!F41</f>
        <v>60.978000000000002</v>
      </c>
      <c r="D136" s="162"/>
      <c r="E136" s="162">
        <f>'П1.6'!K41</f>
        <v>1.6E-2</v>
      </c>
      <c r="F136" s="85"/>
      <c r="G136" s="162">
        <f>'П1.6'!F85</f>
        <v>74.215999999999994</v>
      </c>
      <c r="H136" s="162"/>
      <c r="I136" s="162">
        <f>'П1.6'!K85</f>
        <v>1.7999999999999999E-2</v>
      </c>
      <c r="J136" s="70"/>
      <c r="K136" s="74">
        <f>C136+G136</f>
        <v>135.19399999999999</v>
      </c>
      <c r="L136" s="162"/>
      <c r="M136" s="162">
        <f>'П1.6'!K129</f>
        <v>1.6999999999999998E-2</v>
      </c>
      <c r="N136" s="70"/>
    </row>
    <row r="137" spans="1:14" s="46" customFormat="1" ht="18" customHeight="1">
      <c r="A137" s="72" t="s">
        <v>269</v>
      </c>
      <c r="B137" s="85" t="s">
        <v>285</v>
      </c>
      <c r="C137" s="74">
        <f>'П1.4'!G29</f>
        <v>176.04300000000001</v>
      </c>
      <c r="D137" s="76"/>
      <c r="E137" s="76">
        <f>'П1.5'!G29</f>
        <v>6.0999999999999999E-2</v>
      </c>
      <c r="F137" s="70"/>
      <c r="G137" s="74">
        <f>'П1.4'!L29</f>
        <v>168.96899999999999</v>
      </c>
      <c r="H137" s="76"/>
      <c r="I137" s="76">
        <f>I37-I87</f>
        <v>5.7999999999999996E-2</v>
      </c>
      <c r="J137" s="70"/>
      <c r="K137" s="74">
        <f>C137+G137</f>
        <v>345.012</v>
      </c>
      <c r="L137" s="76"/>
      <c r="M137" s="76">
        <f>M37-M87-0.001</f>
        <v>5.800000000000001E-2</v>
      </c>
      <c r="N137" s="70"/>
    </row>
    <row r="138" spans="1:14" s="46" customFormat="1" ht="18" customHeight="1">
      <c r="A138" s="88" t="s">
        <v>209</v>
      </c>
      <c r="B138" s="89" t="s">
        <v>210</v>
      </c>
      <c r="C138" s="90"/>
      <c r="D138" s="91"/>
      <c r="E138" s="148"/>
      <c r="F138" s="70"/>
      <c r="G138" s="90"/>
      <c r="H138" s="91"/>
      <c r="I138" s="148"/>
      <c r="J138" s="70"/>
      <c r="K138" s="90"/>
      <c r="L138" s="91"/>
      <c r="M138" s="148"/>
      <c r="N138" s="70"/>
    </row>
    <row r="139" spans="1:14" s="46" customFormat="1" ht="18" customHeight="1">
      <c r="A139" s="88" t="s">
        <v>211</v>
      </c>
      <c r="B139" s="145" t="s">
        <v>153</v>
      </c>
      <c r="C139" s="74">
        <f>'П1.4'!H13</f>
        <v>32.677999999983427</v>
      </c>
      <c r="D139" s="91"/>
      <c r="E139" s="76">
        <f>'П1.5'!H13</f>
        <v>1.0000000000009557E-2</v>
      </c>
      <c r="F139" s="70"/>
      <c r="G139" s="74">
        <f>'П1.4'!M13</f>
        <v>35.818999999971538</v>
      </c>
      <c r="H139" s="91"/>
      <c r="I139" s="76">
        <f>'П1.5'!M13</f>
        <v>1.000000000000778E-2</v>
      </c>
      <c r="J139" s="70"/>
      <c r="K139" s="74">
        <f>C139+G139</f>
        <v>68.496999999954966</v>
      </c>
      <c r="L139" s="91"/>
      <c r="M139" s="75">
        <f>'П1.5'!R13</f>
        <v>9.9999999999997868E-3</v>
      </c>
      <c r="N139" s="70"/>
    </row>
    <row r="140" spans="1:14" s="46" customFormat="1" ht="18" customHeight="1">
      <c r="A140" s="88" t="s">
        <v>212</v>
      </c>
      <c r="B140" s="89" t="s">
        <v>213</v>
      </c>
      <c r="C140" s="90"/>
      <c r="D140" s="91"/>
      <c r="E140" s="148"/>
      <c r="F140" s="70"/>
      <c r="G140" s="90"/>
      <c r="H140" s="91"/>
      <c r="I140" s="148"/>
      <c r="J140" s="70"/>
      <c r="K140" s="91"/>
      <c r="L140" s="91"/>
      <c r="M140" s="84"/>
      <c r="N140" s="70"/>
    </row>
    <row r="141" spans="1:14" s="46" customFormat="1" ht="18" customHeight="1">
      <c r="A141" s="77"/>
      <c r="B141" s="78" t="s">
        <v>107</v>
      </c>
      <c r="C141" s="79"/>
      <c r="D141" s="82"/>
      <c r="E141" s="82"/>
      <c r="F141" s="81"/>
      <c r="G141" s="82"/>
      <c r="H141" s="82"/>
      <c r="I141" s="80"/>
      <c r="J141" s="81"/>
      <c r="K141" s="82"/>
      <c r="L141" s="82"/>
      <c r="M141" s="80"/>
      <c r="N141" s="81"/>
    </row>
    <row r="142" spans="1:14" s="46" customFormat="1" ht="18" customHeight="1">
      <c r="A142" s="88" t="s">
        <v>214</v>
      </c>
      <c r="B142" s="89" t="s">
        <v>157</v>
      </c>
      <c r="C142" s="90"/>
      <c r="D142" s="91"/>
      <c r="E142" s="148"/>
      <c r="F142" s="70"/>
      <c r="G142" s="74"/>
      <c r="H142" s="91"/>
      <c r="I142" s="76"/>
      <c r="J142" s="70"/>
      <c r="K142" s="74"/>
      <c r="L142" s="91"/>
      <c r="M142" s="76"/>
      <c r="N142" s="70"/>
    </row>
    <row r="143" spans="1:14" s="46" customFormat="1" ht="18" customHeight="1">
      <c r="A143" s="88" t="s">
        <v>215</v>
      </c>
      <c r="B143" s="89" t="s">
        <v>106</v>
      </c>
      <c r="C143" s="74">
        <f>C139</f>
        <v>32.677999999983427</v>
      </c>
      <c r="D143" s="91"/>
      <c r="E143" s="76">
        <f>E139</f>
        <v>1.0000000000009557E-2</v>
      </c>
      <c r="F143" s="70"/>
      <c r="G143" s="74">
        <f>G139</f>
        <v>35.818999999971538</v>
      </c>
      <c r="H143" s="91"/>
      <c r="I143" s="76">
        <f>I139</f>
        <v>1.000000000000778E-2</v>
      </c>
      <c r="J143" s="70"/>
      <c r="K143" s="74">
        <f>K139</f>
        <v>68.496999999954966</v>
      </c>
      <c r="L143" s="91"/>
      <c r="M143" s="76">
        <f>M139</f>
        <v>9.9999999999997868E-3</v>
      </c>
      <c r="N143" s="70"/>
    </row>
    <row r="144" spans="1:14" s="46" customFormat="1" ht="18" customHeight="1">
      <c r="A144" s="77"/>
      <c r="B144" s="78" t="s">
        <v>107</v>
      </c>
      <c r="C144" s="79"/>
      <c r="D144" s="82"/>
      <c r="E144" s="82"/>
      <c r="F144" s="81"/>
      <c r="G144" s="82"/>
      <c r="H144" s="82"/>
      <c r="I144" s="80"/>
      <c r="J144" s="81"/>
      <c r="K144" s="82"/>
      <c r="L144" s="82"/>
      <c r="M144" s="80"/>
      <c r="N144" s="81"/>
    </row>
    <row r="145" spans="1:14" s="46" customFormat="1" ht="18" customHeight="1">
      <c r="A145" s="72" t="s">
        <v>216</v>
      </c>
      <c r="B145" s="73" t="str">
        <f>B37</f>
        <v>АО "КузбассЭлектро"</v>
      </c>
      <c r="C145" s="74">
        <f>C143</f>
        <v>32.677999999983427</v>
      </c>
      <c r="D145" s="91"/>
      <c r="E145" s="76">
        <f>E143</f>
        <v>1.0000000000009557E-2</v>
      </c>
      <c r="F145" s="70"/>
      <c r="G145" s="74">
        <f>G143</f>
        <v>35.818999999971538</v>
      </c>
      <c r="H145" s="91"/>
      <c r="I145" s="76">
        <f>I143</f>
        <v>1.000000000000778E-2</v>
      </c>
      <c r="J145" s="70"/>
      <c r="K145" s="74">
        <f>K143</f>
        <v>68.496999999954966</v>
      </c>
      <c r="L145" s="91"/>
      <c r="M145" s="76">
        <f>M143</f>
        <v>9.9999999999997868E-3</v>
      </c>
      <c r="N145" s="70"/>
    </row>
    <row r="146" spans="1:14" s="46" customFormat="1" ht="18" customHeight="1">
      <c r="A146" s="72" t="s">
        <v>217</v>
      </c>
      <c r="B146" s="73" t="s">
        <v>109</v>
      </c>
      <c r="C146" s="90"/>
      <c r="D146" s="91"/>
      <c r="E146" s="148"/>
      <c r="F146" s="70"/>
      <c r="G146" s="91"/>
      <c r="H146" s="91"/>
      <c r="I146" s="84"/>
      <c r="J146" s="70"/>
      <c r="K146" s="91"/>
      <c r="L146" s="91"/>
      <c r="M146" s="84"/>
      <c r="N146" s="70"/>
    </row>
    <row r="147" spans="1:14" s="46" customFormat="1" ht="18" customHeight="1">
      <c r="A147" s="72"/>
      <c r="B147" s="73" t="s">
        <v>132</v>
      </c>
      <c r="C147" s="90"/>
      <c r="D147" s="91"/>
      <c r="E147" s="148"/>
      <c r="F147" s="70"/>
      <c r="G147" s="91"/>
      <c r="H147" s="91"/>
      <c r="I147" s="84"/>
      <c r="J147" s="70"/>
      <c r="K147" s="91"/>
      <c r="L147" s="91"/>
      <c r="M147" s="84"/>
      <c r="N147" s="70"/>
    </row>
    <row r="148" spans="1:14" s="46" customFormat="1" ht="18" customHeight="1">
      <c r="A148" s="88" t="s">
        <v>218</v>
      </c>
      <c r="B148" s="89" t="s">
        <v>134</v>
      </c>
      <c r="C148" s="90"/>
      <c r="D148" s="91"/>
      <c r="E148" s="148"/>
      <c r="F148" s="70"/>
      <c r="G148" s="91"/>
      <c r="H148" s="91"/>
      <c r="I148" s="84"/>
      <c r="J148" s="70"/>
      <c r="K148" s="91"/>
      <c r="L148" s="91"/>
      <c r="M148" s="84"/>
      <c r="N148" s="70"/>
    </row>
    <row r="149" spans="1:14" s="46" customFormat="1" ht="18" customHeight="1">
      <c r="A149" s="88" t="s">
        <v>219</v>
      </c>
      <c r="B149" s="89" t="s">
        <v>136</v>
      </c>
      <c r="C149" s="74">
        <f>C145</f>
        <v>32.677999999983427</v>
      </c>
      <c r="D149" s="170"/>
      <c r="E149" s="75">
        <f>E145</f>
        <v>1.0000000000009557E-2</v>
      </c>
      <c r="F149" s="70"/>
      <c r="G149" s="74">
        <f>G145</f>
        <v>35.818999999971538</v>
      </c>
      <c r="H149" s="91"/>
      <c r="I149" s="74">
        <f>I145</f>
        <v>1.000000000000778E-2</v>
      </c>
      <c r="J149" s="70"/>
      <c r="K149" s="74">
        <f>K145</f>
        <v>68.496999999954966</v>
      </c>
      <c r="L149" s="170"/>
      <c r="M149" s="75">
        <f>M145</f>
        <v>9.9999999999997868E-3</v>
      </c>
      <c r="N149" s="70"/>
    </row>
    <row r="150" spans="1:14" s="46" customFormat="1" ht="18" customHeight="1">
      <c r="A150" s="77"/>
      <c r="B150" s="78" t="s">
        <v>114</v>
      </c>
      <c r="C150" s="79"/>
      <c r="D150" s="82"/>
      <c r="E150" s="82"/>
      <c r="F150" s="81"/>
      <c r="G150" s="82"/>
      <c r="H150" s="82"/>
      <c r="I150" s="80"/>
      <c r="J150" s="81"/>
      <c r="K150" s="82"/>
      <c r="L150" s="82"/>
      <c r="M150" s="80"/>
      <c r="N150" s="81"/>
    </row>
    <row r="151" spans="1:14" s="46" customFormat="1" ht="18" customHeight="1">
      <c r="A151" s="88" t="s">
        <v>220</v>
      </c>
      <c r="B151" s="89" t="s">
        <v>116</v>
      </c>
      <c r="C151" s="74">
        <f>C145</f>
        <v>32.677999999983427</v>
      </c>
      <c r="D151" s="170"/>
      <c r="E151" s="75">
        <f>E145</f>
        <v>1.0000000000009557E-2</v>
      </c>
      <c r="F151" s="70"/>
      <c r="G151" s="74">
        <f>G145</f>
        <v>35.818999999971538</v>
      </c>
      <c r="H151" s="170"/>
      <c r="I151" s="75">
        <f>I145</f>
        <v>1.000000000000778E-2</v>
      </c>
      <c r="J151" s="70"/>
      <c r="K151" s="74">
        <f>K145</f>
        <v>68.496999999954966</v>
      </c>
      <c r="L151" s="170"/>
      <c r="M151" s="75">
        <f>M145</f>
        <v>9.9999999999997868E-3</v>
      </c>
      <c r="N151" s="70"/>
    </row>
    <row r="152" spans="1:14" s="46" customFormat="1" ht="18" customHeight="1">
      <c r="A152" s="88" t="s">
        <v>221</v>
      </c>
      <c r="B152" s="89" t="s">
        <v>118</v>
      </c>
      <c r="C152" s="74"/>
      <c r="D152" s="170"/>
      <c r="E152" s="75"/>
      <c r="F152" s="70"/>
      <c r="G152" s="74"/>
      <c r="H152" s="170"/>
      <c r="I152" s="75"/>
      <c r="J152" s="70"/>
      <c r="K152" s="74"/>
      <c r="L152" s="170"/>
      <c r="M152" s="75"/>
      <c r="N152" s="70"/>
    </row>
    <row r="153" spans="1:14" s="46" customFormat="1" ht="18" customHeight="1">
      <c r="A153" s="77"/>
      <c r="B153" s="78" t="s">
        <v>119</v>
      </c>
      <c r="C153" s="79"/>
      <c r="D153" s="82"/>
      <c r="E153" s="80"/>
      <c r="F153" s="81"/>
      <c r="G153" s="82"/>
      <c r="H153" s="82"/>
      <c r="I153" s="80"/>
      <c r="J153" s="81"/>
      <c r="K153" s="82"/>
      <c r="L153" s="82"/>
      <c r="M153" s="80"/>
      <c r="N153" s="81"/>
    </row>
    <row r="154" spans="1:14" s="46" customFormat="1" ht="18" customHeight="1">
      <c r="A154" s="72" t="s">
        <v>222</v>
      </c>
      <c r="B154" s="73" t="s">
        <v>108</v>
      </c>
      <c r="C154" s="90"/>
      <c r="D154" s="91"/>
      <c r="E154" s="84"/>
      <c r="F154" s="70"/>
      <c r="G154" s="91"/>
      <c r="H154" s="91"/>
      <c r="I154" s="84"/>
      <c r="J154" s="70"/>
      <c r="K154" s="91"/>
      <c r="L154" s="91"/>
      <c r="M154" s="84"/>
      <c r="N154" s="70"/>
    </row>
    <row r="155" spans="1:14" s="46" customFormat="1" ht="18" customHeight="1">
      <c r="A155" s="72" t="s">
        <v>223</v>
      </c>
      <c r="B155" s="73" t="s">
        <v>224</v>
      </c>
      <c r="C155" s="90"/>
      <c r="D155" s="91"/>
      <c r="E155" s="84"/>
      <c r="F155" s="70"/>
      <c r="G155" s="91"/>
      <c r="H155" s="91"/>
      <c r="I155" s="84"/>
      <c r="J155" s="70"/>
      <c r="K155" s="91"/>
      <c r="L155" s="91"/>
      <c r="M155" s="84"/>
      <c r="N155" s="70"/>
    </row>
    <row r="156" spans="1:14" s="46" customFormat="1" ht="18" customHeight="1">
      <c r="A156" s="72" t="s">
        <v>225</v>
      </c>
      <c r="B156" s="73" t="s">
        <v>109</v>
      </c>
      <c r="C156" s="90"/>
      <c r="D156" s="91"/>
      <c r="E156" s="84"/>
      <c r="F156" s="70"/>
      <c r="G156" s="91"/>
      <c r="H156" s="91"/>
      <c r="I156" s="84"/>
      <c r="J156" s="70"/>
      <c r="K156" s="91"/>
      <c r="L156" s="91"/>
      <c r="M156" s="84"/>
      <c r="N156" s="70"/>
    </row>
    <row r="157" spans="1:14" s="46" customFormat="1" ht="18" customHeight="1">
      <c r="A157" s="72" t="s">
        <v>226</v>
      </c>
      <c r="B157" s="73" t="s">
        <v>227</v>
      </c>
      <c r="C157" s="90"/>
      <c r="D157" s="91"/>
      <c r="E157" s="84"/>
      <c r="F157" s="70"/>
      <c r="G157" s="91"/>
      <c r="H157" s="91"/>
      <c r="I157" s="84"/>
      <c r="J157" s="70"/>
      <c r="K157" s="91"/>
      <c r="L157" s="91"/>
      <c r="M157" s="84"/>
      <c r="N157" s="70"/>
    </row>
    <row r="158" spans="1:14" s="46" customFormat="1" ht="18" customHeight="1" thickBot="1">
      <c r="A158" s="92"/>
      <c r="B158" s="93" t="s">
        <v>132</v>
      </c>
      <c r="C158" s="94"/>
      <c r="D158" s="97"/>
      <c r="E158" s="95"/>
      <c r="F158" s="96"/>
      <c r="G158" s="97"/>
      <c r="H158" s="97"/>
      <c r="I158" s="95"/>
      <c r="J158" s="96"/>
      <c r="K158" s="97"/>
      <c r="L158" s="97"/>
      <c r="M158" s="95"/>
      <c r="N158" s="96"/>
    </row>
    <row r="159" spans="1:14" s="46" customFormat="1">
      <c r="A159" s="98"/>
      <c r="B159" s="99"/>
      <c r="C159" s="100"/>
      <c r="D159" s="100"/>
      <c r="G159" s="100"/>
      <c r="H159" s="100"/>
      <c r="K159" s="100"/>
      <c r="L159" s="100"/>
    </row>
    <row r="160" spans="1:14" s="46" customFormat="1">
      <c r="A160" s="101"/>
      <c r="B160" s="99"/>
      <c r="C160" s="100"/>
      <c r="D160" s="100"/>
      <c r="G160" s="100"/>
      <c r="H160" s="100"/>
      <c r="K160" s="100"/>
      <c r="L160" s="100"/>
    </row>
    <row r="161" spans="1:12" s="46" customFormat="1">
      <c r="A161" s="98"/>
      <c r="B161" s="99"/>
      <c r="C161" s="100"/>
      <c r="D161" s="100"/>
      <c r="G161" s="100"/>
      <c r="H161" s="100"/>
      <c r="K161" s="100"/>
      <c r="L161" s="100"/>
    </row>
    <row r="162" spans="1:12" s="46" customFormat="1">
      <c r="A162" s="98"/>
      <c r="B162" s="99"/>
      <c r="C162" s="100"/>
      <c r="D162" s="100"/>
      <c r="G162" s="100"/>
      <c r="H162" s="100"/>
      <c r="K162" s="100"/>
      <c r="L162" s="100"/>
    </row>
    <row r="163" spans="1:12" s="46" customFormat="1">
      <c r="A163" s="98"/>
      <c r="B163" s="99"/>
      <c r="C163" s="100"/>
      <c r="D163" s="100"/>
      <c r="G163" s="100"/>
      <c r="H163" s="100"/>
      <c r="K163" s="100"/>
      <c r="L163" s="100"/>
    </row>
    <row r="164" spans="1:12" s="46" customFormat="1">
      <c r="A164" s="98"/>
      <c r="B164" s="99"/>
      <c r="C164" s="100"/>
      <c r="D164" s="100"/>
      <c r="G164" s="100"/>
      <c r="H164" s="100"/>
      <c r="K164" s="100"/>
      <c r="L164" s="100"/>
    </row>
    <row r="165" spans="1:12" s="46" customFormat="1">
      <c r="A165" s="98"/>
      <c r="B165" s="99"/>
      <c r="C165" s="100"/>
      <c r="D165" s="100"/>
      <c r="G165" s="100"/>
      <c r="H165" s="100"/>
      <c r="K165" s="100"/>
      <c r="L165" s="100"/>
    </row>
    <row r="166" spans="1:12" s="46" customFormat="1">
      <c r="A166" s="98"/>
      <c r="B166" s="99"/>
      <c r="C166" s="100"/>
      <c r="D166" s="100"/>
      <c r="G166" s="100"/>
      <c r="H166" s="100"/>
      <c r="K166" s="100"/>
      <c r="L166" s="100"/>
    </row>
    <row r="167" spans="1:12" s="46" customFormat="1">
      <c r="A167" s="98"/>
      <c r="B167" s="99"/>
      <c r="C167" s="100"/>
      <c r="D167" s="100"/>
      <c r="G167" s="100"/>
      <c r="H167" s="100"/>
      <c r="K167" s="100"/>
      <c r="L167" s="100"/>
    </row>
    <row r="168" spans="1:12" s="46" customFormat="1">
      <c r="A168" s="98"/>
      <c r="B168" s="99"/>
      <c r="C168" s="100"/>
      <c r="D168" s="100"/>
      <c r="G168" s="100"/>
      <c r="H168" s="100"/>
      <c r="K168" s="100"/>
      <c r="L168" s="100"/>
    </row>
    <row r="169" spans="1:12" s="46" customFormat="1">
      <c r="A169" s="98"/>
      <c r="B169" s="99"/>
      <c r="C169" s="100"/>
      <c r="D169" s="100"/>
      <c r="G169" s="100"/>
      <c r="H169" s="100"/>
      <c r="K169" s="100"/>
      <c r="L169" s="100"/>
    </row>
    <row r="170" spans="1:12" s="46" customFormat="1">
      <c r="A170" s="98"/>
      <c r="B170" s="99"/>
      <c r="C170" s="100"/>
      <c r="D170" s="100"/>
      <c r="G170" s="100"/>
      <c r="H170" s="100"/>
      <c r="K170" s="100"/>
      <c r="L170" s="100"/>
    </row>
    <row r="171" spans="1:12" s="46" customFormat="1">
      <c r="A171" s="98"/>
      <c r="B171" s="99"/>
      <c r="C171" s="100"/>
      <c r="D171" s="100"/>
      <c r="G171" s="100"/>
      <c r="H171" s="100"/>
      <c r="K171" s="100"/>
      <c r="L171" s="100"/>
    </row>
    <row r="172" spans="1:12" s="46" customFormat="1">
      <c r="A172" s="98"/>
      <c r="B172" s="99"/>
      <c r="C172" s="100"/>
      <c r="D172" s="100"/>
      <c r="G172" s="100"/>
      <c r="H172" s="100"/>
      <c r="K172" s="100"/>
      <c r="L172" s="100"/>
    </row>
  </sheetData>
  <mergeCells count="7">
    <mergeCell ref="K5:N5"/>
    <mergeCell ref="A2:F2"/>
    <mergeCell ref="A3:F3"/>
    <mergeCell ref="A5:A6"/>
    <mergeCell ref="B5:B6"/>
    <mergeCell ref="C5:F5"/>
    <mergeCell ref="G5:J5"/>
  </mergeCells>
  <phoneticPr fontId="83" type="noConversion"/>
  <printOptions horizontalCentered="1"/>
  <pageMargins left="0.39370078740157483" right="0" top="0.39370078740157483" bottom="0.39370078740157483" header="0.31496062992125984" footer="0.31496062992125984"/>
  <pageSetup paperSize="9" scale="50" orientation="landscape" r:id="rId1"/>
  <headerFooter alignWithMargins="0"/>
  <rowBreaks count="2" manualBreakCount="2">
    <brk id="59" max="13" man="1"/>
    <brk id="119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П1.4</vt:lpstr>
      <vt:lpstr>П1.5</vt:lpstr>
      <vt:lpstr>П1.6</vt:lpstr>
      <vt:lpstr>П1.30 </vt:lpstr>
      <vt:lpstr>'П1.30 '!Заголовки_для_печати</vt:lpstr>
      <vt:lpstr>П1.4!Заголовки_для_печати</vt:lpstr>
      <vt:lpstr>П1.5!Заголовки_для_печати</vt:lpstr>
      <vt:lpstr>П1.6!Заголовки_для_печати</vt:lpstr>
      <vt:lpstr>'П1.30 '!Область_печати</vt:lpstr>
      <vt:lpstr>П1.4!Область_печати</vt:lpstr>
      <vt:lpstr>П1.5!Область_печати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Oxae</dc:creator>
  <cp:lastModifiedBy>Osokina</cp:lastModifiedBy>
  <cp:lastPrinted>2025-02-10T06:11:25Z</cp:lastPrinted>
  <dcterms:created xsi:type="dcterms:W3CDTF">2015-11-25T12:55:18Z</dcterms:created>
  <dcterms:modified xsi:type="dcterms:W3CDTF">2025-02-11T08:09:01Z</dcterms:modified>
</cp:coreProperties>
</file>